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/>
  <mc:AlternateContent xmlns:mc="http://schemas.openxmlformats.org/markup-compatibility/2006">
    <mc:Choice Requires="x15">
      <x15ac:absPath xmlns:x15ac="http://schemas.microsoft.com/office/spreadsheetml/2010/11/ac" url="/Users/greshashah126/Desktop/Take Home/"/>
    </mc:Choice>
  </mc:AlternateContent>
  <xr:revisionPtr revIDLastSave="0" documentId="13_ncr:1_{37EBC95E-11B4-B843-921A-8DF0AFB6D024}" xr6:coauthVersionLast="47" xr6:coauthVersionMax="47" xr10:uidLastSave="{00000000-0000-0000-0000-000000000000}"/>
  <bookViews>
    <workbookView xWindow="0" yWindow="500" windowWidth="33600" windowHeight="18680" activeTab="5" xr2:uid="{00000000-000D-0000-FFFF-FFFF00000000}"/>
  </bookViews>
  <sheets>
    <sheet name="Raw Data" sheetId="1" r:id="rId1"/>
    <sheet name="Cleaned_Data" sheetId="3" r:id="rId2"/>
    <sheet name="Summary" sheetId="2" r:id="rId3"/>
    <sheet name="Venn Diagram Analysis" sheetId="10" state="hidden" r:id="rId4"/>
    <sheet name="Deeper Analysis" sheetId="14" r:id="rId5"/>
    <sheet name="Dashboard - Key Insights" sheetId="12" r:id="rId6"/>
  </sheets>
  <definedNames>
    <definedName name="_xlnm._FilterDatabase" localSheetId="1" hidden="1">Cleaned_Data!$A$1:$C$48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10" i="14"/>
  <c r="J11" i="14"/>
  <c r="J12" i="14"/>
  <c r="E5" i="14"/>
  <c r="E12" i="14"/>
  <c r="E11" i="14"/>
  <c r="E10" i="14"/>
  <c r="E9" i="14"/>
  <c r="E8" i="14"/>
  <c r="E7" i="14"/>
  <c r="E6" i="14"/>
  <c r="E4" i="14"/>
  <c r="E3" i="14"/>
  <c r="E2" i="14"/>
  <c r="D12" i="14"/>
  <c r="D11" i="14"/>
  <c r="D10" i="14"/>
  <c r="D9" i="14"/>
  <c r="D8" i="14"/>
  <c r="D7" i="14"/>
  <c r="D6" i="14"/>
  <c r="D5" i="14"/>
  <c r="D4" i="14"/>
  <c r="D3" i="14"/>
  <c r="D2" i="14"/>
  <c r="B5" i="10"/>
  <c r="G2" i="10"/>
  <c r="G3" i="10"/>
  <c r="G4" i="10"/>
  <c r="G5" i="10"/>
  <c r="G6" i="10"/>
  <c r="G7" i="10"/>
  <c r="G8" i="10"/>
  <c r="G9" i="10"/>
  <c r="G10" i="10"/>
  <c r="G11" i="10"/>
  <c r="G12" i="10"/>
  <c r="F5" i="14"/>
  <c r="D5" i="10"/>
  <c r="F12" i="14"/>
  <c r="F11" i="14"/>
  <c r="F10" i="14"/>
  <c r="F9" i="14"/>
  <c r="F8" i="14"/>
  <c r="F7" i="14"/>
  <c r="F6" i="14"/>
  <c r="F4" i="14"/>
  <c r="F3" i="14"/>
  <c r="F2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P9" i="12"/>
  <c r="L9" i="12"/>
  <c r="E2" i="2"/>
  <c r="E3" i="2"/>
  <c r="E4" i="2"/>
  <c r="E5" i="2"/>
  <c r="E6" i="2"/>
  <c r="E7" i="2"/>
  <c r="E8" i="2"/>
  <c r="E9" i="2"/>
  <c r="E10" i="2"/>
  <c r="E11" i="2"/>
  <c r="E12" i="2"/>
  <c r="D2" i="2"/>
  <c r="D3" i="2"/>
  <c r="D4" i="2"/>
  <c r="D5" i="2"/>
  <c r="D6" i="2"/>
  <c r="D7" i="2"/>
  <c r="D8" i="2"/>
  <c r="D9" i="2"/>
  <c r="D10" i="2"/>
  <c r="D11" i="2"/>
  <c r="D12" i="2"/>
  <c r="I4" i="14" l="1"/>
  <c r="I12" i="14"/>
  <c r="I5" i="14"/>
  <c r="I9" i="14"/>
  <c r="I6" i="14"/>
  <c r="I3" i="14"/>
  <c r="I7" i="14"/>
  <c r="I11" i="14"/>
  <c r="I2" i="14"/>
  <c r="I10" i="14"/>
  <c r="I8" i="14"/>
  <c r="H4" i="14"/>
  <c r="H12" i="14"/>
  <c r="H5" i="14"/>
  <c r="G9" i="14"/>
  <c r="H6" i="14"/>
  <c r="G8" i="14"/>
  <c r="H11" i="14"/>
  <c r="H3" i="14"/>
  <c r="G7" i="14"/>
  <c r="H10" i="14"/>
  <c r="H2" i="14"/>
  <c r="G6" i="14"/>
  <c r="H9" i="14"/>
  <c r="G5" i="14"/>
  <c r="H8" i="14"/>
  <c r="G12" i="14"/>
  <c r="G4" i="14"/>
  <c r="H7" i="14"/>
  <c r="G11" i="14"/>
  <c r="G3" i="14"/>
  <c r="G10" i="14"/>
  <c r="G2" i="14"/>
  <c r="B2" i="10"/>
  <c r="H2" i="10" s="1"/>
  <c r="C2" i="10"/>
  <c r="D2" i="10"/>
  <c r="B3" i="10"/>
  <c r="H3" i="10" s="1"/>
  <c r="C3" i="10"/>
  <c r="D3" i="10"/>
  <c r="F3" i="10" s="1"/>
  <c r="B4" i="10"/>
  <c r="H4" i="10" s="1"/>
  <c r="C4" i="10"/>
  <c r="D4" i="10"/>
  <c r="H5" i="10"/>
  <c r="C5" i="10"/>
  <c r="B6" i="10"/>
  <c r="H6" i="10" s="1"/>
  <c r="C6" i="10"/>
  <c r="D6" i="10"/>
  <c r="B7" i="10"/>
  <c r="H7" i="10" s="1"/>
  <c r="C7" i="10"/>
  <c r="D7" i="10"/>
  <c r="B8" i="10"/>
  <c r="H8" i="10" s="1"/>
  <c r="C8" i="10"/>
  <c r="D8" i="10"/>
  <c r="B9" i="10"/>
  <c r="H9" i="10" s="1"/>
  <c r="C9" i="10"/>
  <c r="D9" i="10"/>
  <c r="B10" i="10"/>
  <c r="H10" i="10" s="1"/>
  <c r="C10" i="10"/>
  <c r="D10" i="10"/>
  <c r="B11" i="10"/>
  <c r="H11" i="10" s="1"/>
  <c r="C11" i="10"/>
  <c r="D11" i="10"/>
  <c r="B12" i="10"/>
  <c r="H12" i="10" s="1"/>
  <c r="C12" i="10"/>
  <c r="C12" i="2"/>
  <c r="B12" i="2"/>
  <c r="C11" i="2"/>
  <c r="B11" i="2"/>
  <c r="C10" i="2"/>
  <c r="B10" i="2"/>
  <c r="C9" i="2"/>
  <c r="B9" i="2"/>
  <c r="C8" i="2"/>
  <c r="B8" i="2"/>
  <c r="C7" i="2"/>
  <c r="B7" i="2"/>
  <c r="C5" i="2"/>
  <c r="B5" i="2"/>
  <c r="C6" i="2"/>
  <c r="B6" i="2"/>
  <c r="C4" i="2"/>
  <c r="B4" i="2"/>
  <c r="C3" i="2"/>
  <c r="B3" i="2"/>
  <c r="C2" i="2"/>
  <c r="B2" i="2"/>
  <c r="D12" i="10"/>
  <c r="F2" i="10" l="1"/>
  <c r="F12" i="10"/>
  <c r="F7" i="10"/>
  <c r="F11" i="10"/>
  <c r="E12" i="10"/>
  <c r="E8" i="10"/>
  <c r="E4" i="10"/>
  <c r="E10" i="10"/>
  <c r="E6" i="10"/>
  <c r="E5" i="10"/>
  <c r="E3" i="10"/>
  <c r="F9" i="10"/>
  <c r="F5" i="10"/>
  <c r="E9" i="10"/>
  <c r="F10" i="10"/>
  <c r="F8" i="10"/>
  <c r="F6" i="10"/>
  <c r="F4" i="10"/>
  <c r="E11" i="10"/>
  <c r="E2" i="10"/>
  <c r="E7" i="10"/>
</calcChain>
</file>

<file path=xl/sharedStrings.xml><?xml version="1.0" encoding="utf-8"?>
<sst xmlns="http://schemas.openxmlformats.org/spreadsheetml/2006/main" count="469" uniqueCount="269">
  <si>
    <t>Customer</t>
  </si>
  <si>
    <t>Check-In Questionnaire: What persuaded you to choose our hotel for your stay?</t>
  </si>
  <si>
    <t>Check-Out Questionnaire: What impressed you the most during your stay?</t>
  </si>
  <si>
    <t>Customer1</t>
  </si>
  <si>
    <t>Delicious Breakfast; Fast and Reliable Wi-Fi; Family-Friendly Services; Friendly and Helpful Staff; Easy Parking &amp; Check-in</t>
  </si>
  <si>
    <t>Fast and Reliable Wi-Fi; Delicious Breakfast</t>
  </si>
  <si>
    <t>Customer2</t>
  </si>
  <si>
    <t>Quiet and Restful Environment; Fast and Reliable Wi-Fi; Friendly and Helpful Staff; Modern Fitness Facilities; Easy Parking &amp; Check-in</t>
  </si>
  <si>
    <t>Quiet and Restful Environment; Fast and Reliable Wi-Fi; Easy Parking &amp; Check-in; Friendly and Helpful Staff</t>
  </si>
  <si>
    <t>Customer3</t>
  </si>
  <si>
    <t>Reservation &amp; Communication; Fast and Reliable Wi-Fi; Delicious Breakfast; Family-Friendly Services</t>
  </si>
  <si>
    <t>Fast and Reliable Wi-Fi; Reservation &amp; Communication; Delicious Breakfast; Family-Friendly Services</t>
  </si>
  <si>
    <t>Customer4</t>
  </si>
  <si>
    <t>Stylish Interior Design; Quiet and Restful Environment; Modern Fitness Facilities; Fast and Reliable Wi-Fi; Friendly and Helpful Staff</t>
  </si>
  <si>
    <t>Quiet and Restful Environment; Friendly and Helpful Staff; Fast and Reliable Wi-Fi</t>
  </si>
  <si>
    <t>Customer5</t>
  </si>
  <si>
    <t>Stylish Interior Design; Quiet and Restful Environment; Modern Fitness Facilities; Reservation &amp; Communication</t>
  </si>
  <si>
    <t>Reservation &amp; Communication</t>
  </si>
  <si>
    <t>Customer6</t>
  </si>
  <si>
    <t>Comfortable and Clean Rooms; Quiet and Restful Environment; Modern Fitness Facilities; Fast and Reliable Wi-Fi</t>
  </si>
  <si>
    <t>Comfortable and Clean Rooms; Quiet and Restful Environment; Fast and Reliable Wi-Fi</t>
  </si>
  <si>
    <t>Customer7</t>
  </si>
  <si>
    <t>Quiet and Restful Environment;Modern Fitness Facilities; Fast and Reliable Wi-Fi</t>
  </si>
  <si>
    <t>Customer8</t>
  </si>
  <si>
    <t>Comfortable and Clean Rooms; Quiet and Restful Environment; Modern Fitness Facilities; Business Amenities; Family-Friendly Services; Delicious Breakfast; Friendly and Helpful Staff</t>
  </si>
  <si>
    <t>Comfortable and Clean Rooms; Quiet and Restful Environment; Business Amenities; Modern Fitness Facilities</t>
  </si>
  <si>
    <t>Customer9</t>
  </si>
  <si>
    <t>Easy Parking &amp; Check-in; Modern Fitness Facilities; Quiet and Restful Environment; Comfortable and Clean Rooms</t>
  </si>
  <si>
    <t>Modern Fitness Facilities; Comfortable and Clean Rooms; Quiet and Restful Environment</t>
  </si>
  <si>
    <t>Customer10</t>
  </si>
  <si>
    <t>Quiet and Restful Environment; Reservation &amp; Communication; Stylish Interior Design; Modern Fitness Facilities; Fast and Reliable Wi-Fi; Delicious Breakfast</t>
  </si>
  <si>
    <t>Fast and Reliable Wi-Fi; Reservation &amp; Communication; Quiet and Restful Environment; Delicious Breakfast</t>
  </si>
  <si>
    <t>Customer11</t>
  </si>
  <si>
    <t>Comfortable and Clean Rooms; Reservation &amp; Communication; Delicious Breakfast</t>
  </si>
  <si>
    <t>Customer12</t>
  </si>
  <si>
    <t>Quiet and Restful Environment; Comfortable and Clean Rooms; Delicious Breakfast; Stylish Interior Design</t>
  </si>
  <si>
    <t>Quiet and Restful Environment; Delicious Breakfast</t>
  </si>
  <si>
    <t>Customer13</t>
  </si>
  <si>
    <t>Comfortable and Clean Rooms; Quiet and Restful Environment; Fast and Reliable Wi-Fi; Business Amenities; Friendly and Helpful Staff; Reservation &amp; Communication; Delicious Breakfast</t>
  </si>
  <si>
    <t>Quiet and Restful Environment; Fast and Reliable Wi-Fi; Reservation &amp; Communication</t>
  </si>
  <si>
    <t>Customer14</t>
  </si>
  <si>
    <t>Quiet and Restful Environment; Comfortable and Clean Rooms; Fast and Reliable Wi-Fi; Modern Fitness Facilities; Business Amenities; Reservation &amp; Communication; Delicious Breakfast</t>
  </si>
  <si>
    <t>Reservation &amp; Communication; Quiet and Restful Environment; Comfortable and Clean Rooms; Delicious Breakfast; Fast and Reliable Wi-Fi</t>
  </si>
  <si>
    <t>Customer15</t>
  </si>
  <si>
    <t>Comfortable and Clean Rooms; Modern Fitness Facilities; Friendly and Helpful Staff</t>
  </si>
  <si>
    <t>Comfortable and Clean Rooms; Modern Fitness Facilities</t>
  </si>
  <si>
    <t>Customer16</t>
  </si>
  <si>
    <t>Stylish Interior Design; Comfortable and Clean Rooms; Quiet and Restful Environment; Easy Parking &amp; Check-in; Modern Fitness Facilities; Family-Friendly Services</t>
  </si>
  <si>
    <t>Quiet and Restful Environment</t>
  </si>
  <si>
    <t>Customer17</t>
  </si>
  <si>
    <t>Friendly and Helpful Staff; Delicious Breakfast; Quiet and Restful Environment; Fast and Reliable Wi-Fi; Family-Friendly Services; Comfortable and Clean Rooms</t>
  </si>
  <si>
    <t>Quiet and Restful Environment; Friendly and Helpful Staff</t>
  </si>
  <si>
    <t>Customer18</t>
  </si>
  <si>
    <t>Comfortable and Clean Rooms; Quiet and Restful Environment; Delicious Breakfast; Fast and Reliable Wi-Fi; Family-Friendly Services; Friendly and Helpful Staff</t>
  </si>
  <si>
    <t>Quiet and Restful Environment; Fast and Reliable Wi-Fi; Family-Friendly Services; Friendly and Helpful Staff</t>
  </si>
  <si>
    <t>Customer19</t>
  </si>
  <si>
    <t>Comfortable and Clean Rooms; Quiet and Restful Environment; Family-Friendly Services; Modern Fitness Facilities</t>
  </si>
  <si>
    <t>Customer20</t>
  </si>
  <si>
    <t>N/A</t>
  </si>
  <si>
    <t>Customer21</t>
  </si>
  <si>
    <t>Quiet and Restful Environment; Comfortable and Clean Rooms; Modern Fitness Facilities; Easy Parking &amp; Check-in; Fast and Reliable Wi-Fi</t>
  </si>
  <si>
    <t>Quiet and Restful Environment; Comfortable and Clean Rooms; Fast and Reliable Wi-Fi; Modern Fitness Facilities</t>
  </si>
  <si>
    <t>Customer22</t>
  </si>
  <si>
    <t>Comfortable and Clean Rooms; Quiet and Restful Environment; Modern Fitness Facilities; Easy Parking &amp; Check-in; Delicious Breakfast; Family-Friendly Services</t>
  </si>
  <si>
    <t>Quiet and Restful Environment; Modern Fitness Facilities; Comfortable and Clean Rooms; Delicious Breakfast</t>
  </si>
  <si>
    <t>Customer23</t>
  </si>
  <si>
    <t>Business Amenities; Quiet and Restful Environment; Delicious Breakfast</t>
  </si>
  <si>
    <t>Quiet and Restful Environment; Business Amenities; Delicious Breakfast</t>
  </si>
  <si>
    <t>Customer24</t>
  </si>
  <si>
    <t>Easy Parking &amp; Check-in; Modern Fitness Facilities; Quiet and Restful Environment; Friendly and Helpful Staff; Fast and Reliable Wi-Fi; Comfortable and Clean Rooms; Reservation &amp; Communication</t>
  </si>
  <si>
    <t>Quiet and Restful Environment; Modern Fitness Facilities; Friendly and Helpful Staff; Easy Parking &amp; Check-in; Comfortable and Clean Rooms</t>
  </si>
  <si>
    <t>Customer25</t>
  </si>
  <si>
    <t>Modern Fitness Facilities; Delicious Breakfast; Quiet and Restful Environment; Reservation &amp; Communication; Fast and Reliable Wi-Fi; Stylish Interior Design</t>
  </si>
  <si>
    <t>Fast and Reliable Wi-Fi; Quiet and Restful Environment; Delicious Breakfast</t>
  </si>
  <si>
    <t>Customer26</t>
  </si>
  <si>
    <t>Comfortable and Clean Rooms; Delicious Breakfast; Friendly and Helpful Staff; Business Amenities; Modern Fitness Facilities; Quiet and Restful Environment; Fast and Reliable Wi-Fi</t>
  </si>
  <si>
    <t>Quiet and Restful Environment; Delicious Breakfast; Business Amenities</t>
  </si>
  <si>
    <t>Customer27</t>
  </si>
  <si>
    <t>Business Amenities; Comfortable and Clean Rooms; Quiet and Restful Environment; Modern Fitness Facilities; Fast and Reliable Wi-Fi; Family-Friendly Services</t>
  </si>
  <si>
    <t>Quiet and Restful Environment; Fast and Reliable Wi-Fi; Comfortable and Clean Rooms; Family-Friendly Services; Modern Fitness Facilities</t>
  </si>
  <si>
    <t>Customer28</t>
  </si>
  <si>
    <t>Comfortable and Clean Rooms; Modern Fitness Facilities; Delicious Breakfast; Business Amenities; Quiet and Restful Environment; Fast and Reliable Wi-Fi</t>
  </si>
  <si>
    <t>Quiet and Restful Environment; Fast and Reliable Wi-Fi; Comfortable and Clean Rooms; Modern Fitness Facilities</t>
  </si>
  <si>
    <t>Customer29</t>
  </si>
  <si>
    <t>Reservation &amp; Communication; Comfortable and Clean Rooms; Delicious Breakfast; Friendly and Helpful Staff; Quiet and Restful Environment; Fast and Reliable Wi-Fi; Delicious Breakfast; Stylish Interior Design</t>
  </si>
  <si>
    <t>Quiet and Restful Environment; Fast and Reliable Wi-Fi</t>
  </si>
  <si>
    <t>Customer30</t>
  </si>
  <si>
    <t>Reservation &amp; Communication; Quiet and Restful Environment; Comfortable and Clean Rooms; Business Amenities; Delicious Breakfast; Modern Fitness Facilities</t>
  </si>
  <si>
    <t>Quiet and Restful Environment; Reservation &amp; Communication; Delicious Breakfast</t>
  </si>
  <si>
    <t>Customer31</t>
  </si>
  <si>
    <t>Quiet and Restful Environment; Delicious Breakfast; Modern Fitness Facilities; Friendly and Helpful Staff</t>
  </si>
  <si>
    <t>Quiet and Restful Environment; Delicious Breakfast; Friendly and Helpful Staff</t>
  </si>
  <si>
    <t>Customer32</t>
  </si>
  <si>
    <t>Friendly and Helpful Staff; Reservation &amp; Communication; Delicious Breakfast; Family-Friendly Services</t>
  </si>
  <si>
    <t>Customer33</t>
  </si>
  <si>
    <t>Comfortable and Clean Rooms; Delicious Breakfast; Business Amenities; Fast and Reliable Wi-Fi; Quiet and Restful Environment; Family-Friendly Services; Stylish Interior Design; Easy Parking &amp; Check-in</t>
  </si>
  <si>
    <t>Quiet and Restful Environment; Fast and Reliable Wi-Fi; Delicious Breakfast; Stylish Interior Design; Business Amenities</t>
  </si>
  <si>
    <t>Customer34</t>
  </si>
  <si>
    <t>Business Amenities; Quiet and Restful Environment</t>
  </si>
  <si>
    <t>Quiet and Restful Environment; Business Amenities</t>
  </si>
  <si>
    <t>Customer35</t>
  </si>
  <si>
    <t>Quiet and Restful Environment; Fast and Reliable Wi-Fi; Easy Parking &amp; Check-in; Comfortable and Clean Rooms; Quiet and Restful Environment; Fast and Reliable Wi-Fi; Family-Friendly Services; Delicious Breakfast; Business Amenities</t>
  </si>
  <si>
    <t>Customer36</t>
  </si>
  <si>
    <t>Comfortable and Clean Rooms; Quiet and Restful Environment; Friendly and Helpful Staff; Fast and Reliable Wi-Fi; Easy Parking &amp; Check-in</t>
  </si>
  <si>
    <t>Quiet and Restful Environment; Fast and Reliable Wi-Fi; Friendly and Helpful Staff</t>
  </si>
  <si>
    <t>Customer37</t>
  </si>
  <si>
    <t>Delicious Breakfast</t>
  </si>
  <si>
    <t>Customer38</t>
  </si>
  <si>
    <t>Quiet and Restful Environment; Fast and Reliable Wi-Fi; Delicious Breakfast</t>
  </si>
  <si>
    <t>Customer39</t>
  </si>
  <si>
    <t>Stylish Interior Design; Friendly and Helpful Staff; Quiet and Restful Environment; Fast and Reliable Wi-Fi; Family-Friendly Services; Delicious Breakfast; Business Amenities</t>
  </si>
  <si>
    <t>Customer40</t>
  </si>
  <si>
    <t>Easy Parking &amp; Check-in; Quiet and Restful Environment; Fast and Reliable Wi-Fi; Modern Fitness Facilities; Business Amenities; Stylish Interior Design</t>
  </si>
  <si>
    <t>Quiet and Restful Environment; Fast and Reliable Wi-Fi; Delicious Breakfast; Business Amenities</t>
  </si>
  <si>
    <t>Customer41</t>
  </si>
  <si>
    <t>Quiet and Restful Environment; Reservation &amp; Communication; Fast and Reliable Wi-Fi; Delicious Breakfast; Comfortable and Clean Rooms; Fast and Reliable Wi-Fi; Family-Friendly Services</t>
  </si>
  <si>
    <t>Customer42</t>
  </si>
  <si>
    <t>Stylish Interior Design; Friendly and Helpful Staff</t>
  </si>
  <si>
    <t>Customer43</t>
  </si>
  <si>
    <t>Quiet and Restful Environment; Friendly and Helpful Staff; Fast and Reliable Wi-Fi; Delicious Breakfast</t>
  </si>
  <si>
    <t>Customer44</t>
  </si>
  <si>
    <t>Comfortable and Clean Rooms; Business Amenities</t>
  </si>
  <si>
    <t>Business Amenities</t>
  </si>
  <si>
    <t>Customer45</t>
  </si>
  <si>
    <t>Customer46</t>
  </si>
  <si>
    <t>Customer47</t>
  </si>
  <si>
    <t>Options_list</t>
  </si>
  <si>
    <t>Comfortable and Clean Rooms</t>
  </si>
  <si>
    <t>Fast and Reliable Wi-Fi</t>
  </si>
  <si>
    <t>Friendly and Helpful Staff</t>
  </si>
  <si>
    <t>Modern Fitness Facilities</t>
  </si>
  <si>
    <t>Family-Friendly Services</t>
  </si>
  <si>
    <t>Easy Parking &amp; Check-in</t>
  </si>
  <si>
    <t>Stylish Interior Design</t>
  </si>
  <si>
    <t>CheckIn_Comfortable and Clean Rooms</t>
  </si>
  <si>
    <t>CheckOut_Comfortable and Clean Rooms</t>
  </si>
  <si>
    <t>CheckIn_Delicious Breakfast</t>
  </si>
  <si>
    <t>CheckOut_Delicious Breakfast</t>
  </si>
  <si>
    <t>CheckIn_Fast and Reliable Wi-Fi</t>
  </si>
  <si>
    <t>CheckOut_Fast and Reliable Wi-Fi</t>
  </si>
  <si>
    <t>CheckIn_Friendly and Helpful Staff</t>
  </si>
  <si>
    <t>CheckOut_Friendly and Helpful Staff</t>
  </si>
  <si>
    <t>CheckIn_Quiet and Restful Environment</t>
  </si>
  <si>
    <t>CheckOut_Quiet and Restful Environment</t>
  </si>
  <si>
    <t>CheckIn_Modern Fitness Facilities</t>
  </si>
  <si>
    <t>CheckOut_Modern Fitness Facilities</t>
  </si>
  <si>
    <t>CheckIn_Family-Friendly Services</t>
  </si>
  <si>
    <t>CheckOut_Family-Friendly Services</t>
  </si>
  <si>
    <t>CheckIn_Business Amenities</t>
  </si>
  <si>
    <t>CheckOut_Business Amenities</t>
  </si>
  <si>
    <t>CheckIn_Easy Parking &amp; Check-in</t>
  </si>
  <si>
    <t>CheckOut_Easy Parking &amp; Check-in</t>
  </si>
  <si>
    <t>CheckIn_Stylish Interior Design</t>
  </si>
  <si>
    <t>CheckOut_Stylish Interior Design</t>
  </si>
  <si>
    <t>CheckIn_Reservation &amp; Communication</t>
  </si>
  <si>
    <t>CheckOut_Reservation &amp; Communication</t>
  </si>
  <si>
    <t>['Delicious Breakfast', 'Fast and Reliable Wi-Fi', 'Family-Friendly Services', 'Friendly and Helpful Staff', 'Easy Parking &amp; Check-in']</t>
  </si>
  <si>
    <t>['Fast and Reliable Wi-Fi', 'Delicious Breakfast']</t>
  </si>
  <si>
    <t>['Quiet and Restful Environment', 'Fast and Reliable Wi-Fi', 'Friendly and Helpful Staff', 'Modern Fitness Facilities', 'Easy Parking &amp; Check-in']</t>
  </si>
  <si>
    <t>['Quiet and Restful Environment', 'Fast and Reliable Wi-Fi', 'Easy Parking &amp; Check-in', 'Friendly and Helpful Staff']</t>
  </si>
  <si>
    <t>['Reservation &amp; Communication', 'Fast and Reliable Wi-Fi', 'Delicious Breakfast', 'Family-Friendly Services']</t>
  </si>
  <si>
    <t>['Fast and Reliable Wi-Fi', 'Reservation &amp; Communication', 'Delicious Breakfast', 'Family-Friendly Services']</t>
  </si>
  <si>
    <t>['Stylish Interior Design', 'Quiet and Restful Environment', 'Modern Fitness Facilities', 'Fast and Reliable Wi-Fi', 'Friendly and Helpful Staff']</t>
  </si>
  <si>
    <t>['Quiet and Restful Environment', 'Friendly and Helpful Staff', 'Fast and Reliable Wi-Fi']</t>
  </si>
  <si>
    <t>['Stylish Interior Design', 'Quiet and Restful Environment', 'Modern Fitness Facilities', 'Reservation &amp; Communication']</t>
  </si>
  <si>
    <t>['Reservation &amp; Communication']</t>
  </si>
  <si>
    <t>['Comfortable and Clean Rooms', 'Quiet and Restful Environment', 'Modern Fitness Facilities', 'Fast and Reliable Wi-Fi']</t>
  </si>
  <si>
    <t>['Comfortable and Clean Rooms', 'Quiet and Restful Environment', 'Fast and Reliable Wi-Fi']</t>
  </si>
  <si>
    <t>['Quiet and Restful Environment', 'Modern Fitness Facilities', 'Fast and Reliable Wi-Fi']</t>
  </si>
  <si>
    <t>['Comfortable and Clean Rooms', 'Quiet and Restful Environment', 'Modern Fitness Facilities', 'Business Amenities', 'Family-Friendly Services', 'Delicious Breakfast', 'Friendly and Helpful Staff']</t>
  </si>
  <si>
    <t>['Comfortable and Clean Rooms', 'Quiet and Restful Environment', 'Business Amenities', 'Modern Fitness Facilities']</t>
  </si>
  <si>
    <t>['Easy Parking &amp; Check-in', 'Modern Fitness Facilities', 'Quiet and Restful Environment', 'Comfortable and Clean Rooms']</t>
  </si>
  <si>
    <t>['Modern Fitness Facilities', 'Comfortable and Clean Rooms', 'Quiet and Restful Environment']</t>
  </si>
  <si>
    <t>['Quiet and Restful Environment', 'Reservation &amp; Communication', 'Stylish Interior Design', 'Modern Fitness Facilities', 'Fast and Reliable Wi-Fi', 'Delicious Breakfast']</t>
  </si>
  <si>
    <t>['Fast and Reliable Wi-Fi', 'Reservation &amp; Communication', 'Quiet and Restful Environment', 'Delicious Breakfast']</t>
  </si>
  <si>
    <t>['Comfortable and Clean Rooms', 'Reservation &amp; Communication', 'Delicious Breakfast']</t>
  </si>
  <si>
    <t>['Quiet and Restful Environment', 'Comfortable and Clean Rooms', 'Delicious Breakfast', 'Stylish Interior Design']</t>
  </si>
  <si>
    <t>['Quiet and Restful Environment', 'Delicious Breakfast']</t>
  </si>
  <si>
    <t>['Comfortable and Clean Rooms', 'Quiet and Restful Environment', 'Fast and Reliable Wi-Fi', 'Business Amenities', 'Friendly and Helpful Staff', 'Reservation &amp; Communication', 'Delicious Breakfast']</t>
  </si>
  <si>
    <t>['Quiet and Restful Environment', 'Fast and Reliable Wi-Fi', 'Reservation &amp; Communication']</t>
  </si>
  <si>
    <t>['Quiet and Restful Environment', 'Comfortable and Clean Rooms', 'Fast and Reliable Wi-Fi', 'Modern Fitness Facilities', 'Business Amenities', 'Reservation &amp; Communication', 'Delicious Breakfast']</t>
  </si>
  <si>
    <t>['Reservation &amp; Communication', 'Quiet and Restful Environment', 'Comfortable and Clean Rooms', 'Delicious Breakfast', 'Fast and Reliable Wi-Fi']</t>
  </si>
  <si>
    <t>['Comfortable and Clean Rooms', 'Modern Fitness Facilities', 'Friendly and Helpful Staff']</t>
  </si>
  <si>
    <t>['Comfortable and Clean Rooms', 'Modern Fitness Facilities']</t>
  </si>
  <si>
    <t>['Stylish Interior Design', 'Comfortable and Clean Rooms', 'Quiet and Restful Environment', 'Easy Parking &amp; Check-in', 'Modern Fitness Facilities', 'Family-Friendly Services']</t>
  </si>
  <si>
    <t>['Quiet and Restful Environment']</t>
  </si>
  <si>
    <t>['Friendly and Helpful Staff', 'Delicious Breakfast', 'Quiet and Restful Environment', 'Fast and Reliable Wi-Fi', 'Family-Friendly Services', 'Comfortable and Clean Rooms']</t>
  </si>
  <si>
    <t>['Quiet and Restful Environment', 'Friendly and Helpful Staff']</t>
  </si>
  <si>
    <t>['Comfortable and Clean Rooms', 'Quiet and Restful Environment', 'Delicious Breakfast', 'Fast and Reliable Wi-Fi', 'Family-Friendly Services', 'Friendly and Helpful Staff']</t>
  </si>
  <si>
    <t>['Quiet and Restful Environment', 'Fast and Reliable Wi-Fi', 'Family-Friendly Services', 'Friendly and Helpful Staff']</t>
  </si>
  <si>
    <t>['Comfortable and Clean Rooms', 'Quiet and Restful Environment', 'Family-Friendly Services', 'Modern Fitness Facilities']</t>
  </si>
  <si>
    <t>[]</t>
  </si>
  <si>
    <t>['Quiet and Restful Environment', 'Comfortable and Clean Rooms', 'Modern Fitness Facilities', 'Easy Parking &amp; Check-in', 'Fast and Reliable Wi-Fi']</t>
  </si>
  <si>
    <t>['Quiet and Restful Environment', 'Comfortable and Clean Rooms', 'Fast and Reliable Wi-Fi', 'Modern Fitness Facilities']</t>
  </si>
  <si>
    <t>['Comfortable and Clean Rooms', 'Quiet and Restful Environment', 'Modern Fitness Facilities', 'Easy Parking &amp; Check-in', 'Delicious Breakfast', 'Family-Friendly Services']</t>
  </si>
  <si>
    <t>['Quiet and Restful Environment', 'Modern Fitness Facilities', 'Comfortable and Clean Rooms', 'Delicious Breakfast']</t>
  </si>
  <si>
    <t>['Business Amenities', 'Quiet and Restful Environment', 'Delicious Breakfast']</t>
  </si>
  <si>
    <t>['Quiet and Restful Environment', 'Business Amenities', 'Delicious Breakfast']</t>
  </si>
  <si>
    <t>['Easy Parking &amp; Check-in', 'Modern Fitness Facilities', 'Quiet and Restful Environment', 'Friendly and Helpful Staff', 'Fast and Reliable Wi-Fi', 'Comfortable and Clean Rooms', 'Reservation &amp; Communication']</t>
  </si>
  <si>
    <t>['Quiet and Restful Environment', 'Modern Fitness Facilities', 'Friendly and Helpful Staff', 'Easy Parking &amp; Check-in', 'Comfortable and Clean Rooms']</t>
  </si>
  <si>
    <t>['Modern Fitness Facilities', 'Delicious Breakfast', 'Quiet and Restful Environment', 'Reservation &amp; Communication', 'Fast and Reliable Wi-Fi', 'Stylish Interior Design']</t>
  </si>
  <si>
    <t>['Fast and Reliable Wi-Fi', 'Quiet and Restful Environment', 'Delicious Breakfast']</t>
  </si>
  <si>
    <t>['Comfortable and Clean Rooms', 'Delicious Breakfast', 'Friendly and Helpful Staff', 'Business Amenities', 'Modern Fitness Facilities', 'Quiet and Restful Environment', 'Fast and Reliable Wi-Fi']</t>
  </si>
  <si>
    <t>['Quiet and Restful Environment', 'Delicious Breakfast', 'Business Amenities']</t>
  </si>
  <si>
    <t>['Business Amenities', 'Comfortable and Clean Rooms', 'Quiet and Restful Environment', 'Modern Fitness Facilities', 'Fast and Reliable Wi-Fi', 'Family-Friendly Services']</t>
  </si>
  <si>
    <t>['Quiet and Restful Environment', 'Fast and Reliable Wi-Fi', 'Comfortable and Clean Rooms', 'Family-Friendly Services', 'Modern Fitness Facilities']</t>
  </si>
  <si>
    <t>['Comfortable and Clean Rooms', 'Modern Fitness Facilities', 'Delicious Breakfast', 'Business Amenities', 'Quiet and Restful Environment', 'Fast and Reliable Wi-Fi']</t>
  </si>
  <si>
    <t>['Quiet and Restful Environment', 'Fast and Reliable Wi-Fi', 'Comfortable and Clean Rooms', 'Modern Fitness Facilities']</t>
  </si>
  <si>
    <t>['Reservation &amp; Communication', 'Comfortable and Clean Rooms', 'Delicious Breakfast', 'Friendly and Helpful Staff', 'Quiet and Restful Environment', 'Fast and Reliable Wi-Fi', 'Delicious Breakfast', 'Stylish Interior Design']</t>
  </si>
  <si>
    <t>['Quiet and Restful Environment', 'Fast and Reliable Wi-Fi']</t>
  </si>
  <si>
    <t>['Reservation &amp; Communication', 'Quiet and Restful Environment', 'Comfortable and Clean Rooms', 'Business Amenities', 'Delicious Breakfast', 'Modern Fitness Facilities']</t>
  </si>
  <si>
    <t>['Quiet and Restful Environment', 'Reservation &amp; Communication', 'Delicious Breakfast']</t>
  </si>
  <si>
    <t>['Quiet and Restful Environment', 'Delicious Breakfast', 'Modern Fitness Facilities', 'Friendly and Helpful Staff']</t>
  </si>
  <si>
    <t>['Quiet and Restful Environment', 'Delicious Breakfast', 'Friendly and Helpful Staff']</t>
  </si>
  <si>
    <t>['Friendly and Helpful Staff', 'Reservation &amp; Communication', 'Delicious Breakfast', 'Family-Friendly Services']</t>
  </si>
  <si>
    <t>['Comfortable and Clean Rooms', 'Delicious Breakfast', 'Business Amenities', 'Fast and Reliable Wi-Fi', 'Quiet and Restful Environment', 'Family-Friendly Services', 'Stylish Interior Design', 'Easy Parking &amp; Check-in']</t>
  </si>
  <si>
    <t>['Quiet and Restful Environment', 'Fast and Reliable Wi-Fi', 'Delicious Breakfast', 'Stylish Interior Design', 'Business Amenities']</t>
  </si>
  <si>
    <t>['Business Amenities', 'Quiet and Restful Environment']</t>
  </si>
  <si>
    <t>['Quiet and Restful Environment', 'Business Amenities']</t>
  </si>
  <si>
    <t>['Quiet and Restful Environment', 'Fast and Reliable Wi-Fi', 'Easy Parking &amp; Check-in', 'Comfortable and Clean Rooms', 'Quiet and Restful Environment', 'Fast and Reliable Wi-Fi', 'Family-Friendly Services', 'Delicious Breakfast', 'Business Amenities']</t>
  </si>
  <si>
    <t>['Comfortable and Clean Rooms', 'Quiet and Restful Environment', 'Friendly and Helpful Staff', 'Fast and Reliable Wi-Fi', 'Easy Parking &amp; Check-in']</t>
  </si>
  <si>
    <t>['Quiet and Restful Environment', 'Fast and Reliable Wi-Fi', 'Friendly and Helpful Staff']</t>
  </si>
  <si>
    <t>['Delicious Breakfast']</t>
  </si>
  <si>
    <t>['Quiet and Restful Environment', 'Fast and Reliable Wi-Fi', 'Delicious Breakfast']</t>
  </si>
  <si>
    <t>['Stylish Interior Design', 'Friendly and Helpful Staff', 'Quiet and Restful Environment', 'Fast and Reliable Wi-Fi', 'Family-Friendly Services', 'Delicious Breakfast', 'Business Amenities']</t>
  </si>
  <si>
    <t>['Easy Parking &amp; Check-in', 'Quiet and Restful Environment', 'Fast and Reliable Wi-Fi', 'Modern Fitness Facilities', 'Business Amenities', 'Stylish Interior Design']</t>
  </si>
  <si>
    <t>['Quiet and Restful Environment', 'Fast and Reliable Wi-Fi', 'Delicious Breakfast', 'Business Amenities']</t>
  </si>
  <si>
    <t>['Quiet and Restful Environment', 'Reservation &amp; Communication', 'Fast and Reliable Wi-Fi', 'Delicious Breakfast', 'Comfortable and Clean Rooms', 'Fast and Reliable Wi-Fi', 'Family-Friendly Services']</t>
  </si>
  <si>
    <t>['Stylish Interior Design', 'Friendly and Helpful Staff']</t>
  </si>
  <si>
    <t>['Quiet and Restful Environment', 'Friendly and Helpful Staff', 'Fast and Reliable Wi-Fi', 'Delicious Breakfast']</t>
  </si>
  <si>
    <t>['Comfortable and Clean Rooms', 'Business Amenities']</t>
  </si>
  <si>
    <t>['Business Amenities']</t>
  </si>
  <si>
    <t>Row Labels</t>
  </si>
  <si>
    <t>Both</t>
  </si>
  <si>
    <t>Options_List</t>
  </si>
  <si>
    <t>CheckOut Impressed</t>
  </si>
  <si>
    <t>Guests whose expectations were met</t>
  </si>
  <si>
    <t>Impressed without expecting</t>
  </si>
  <si>
    <t>expected but werent impressed</t>
  </si>
  <si>
    <t>CheckIn %</t>
  </si>
  <si>
    <t>CheckOut %</t>
  </si>
  <si>
    <t>Customers Surveyed</t>
  </si>
  <si>
    <t>Expectations v/s Experiences Gap</t>
  </si>
  <si>
    <t>Expectations v/s Experiences Alignment</t>
  </si>
  <si>
    <t>CheckIn Persuaded</t>
  </si>
  <si>
    <t>CheckIn Persuaded Only</t>
  </si>
  <si>
    <t>CheckOut Impressed Only</t>
  </si>
  <si>
    <t>Overdelivery (Mentions) %</t>
  </si>
  <si>
    <t>Underdelivery (Mentions) %</t>
  </si>
  <si>
    <t>CheckIn Only</t>
  </si>
  <si>
    <t>Features</t>
  </si>
  <si>
    <t>Features/Options</t>
  </si>
  <si>
    <t>Based On Mentions</t>
  </si>
  <si>
    <t>The Intersection</t>
  </si>
  <si>
    <t>Alignment</t>
  </si>
  <si>
    <t>Gap</t>
  </si>
  <si>
    <t>CheckOut only</t>
  </si>
  <si>
    <t>Check In Persuaded</t>
  </si>
  <si>
    <t>Check Out Impressed</t>
  </si>
  <si>
    <t>Expectations Decline %</t>
  </si>
  <si>
    <t>Needs Improvement</t>
  </si>
  <si>
    <t>Performance Bucketing</t>
  </si>
  <si>
    <t>Performance Bucket Analysis</t>
  </si>
  <si>
    <t>Expectations Decline%</t>
  </si>
  <si>
    <t>High Impact Aligned</t>
  </si>
  <si>
    <t>Low Engagement</t>
  </si>
  <si>
    <t>Underperforming Priority</t>
  </si>
  <si>
    <t>Alignment%</t>
  </si>
  <si>
    <t>Gap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</si>
</sst>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20"/>
      <color rgb="FF000000"/>
      <name val="Georgia"/>
      <family val="1"/>
    </font>
    <font>
      <sz val="14"/>
      <color theme="0"/>
      <name val="Georgia"/>
      <family val="1"/>
    </font>
    <font>
      <sz val="14"/>
      <color theme="1"/>
      <name val="Georgia"/>
      <family val="1"/>
    </font>
    <font>
      <sz val="18"/>
      <color theme="0"/>
      <name val="Georgia"/>
      <family val="1"/>
    </font>
    <font>
      <b/>
      <sz val="16"/>
      <color rgb="FF000000"/>
      <name val="Georgia"/>
      <family val="1"/>
    </font>
    <font>
      <b/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6"/>
      <color rgb="FF000000"/>
      <name val="Georgia"/>
      <family val="1"/>
    </font>
    <font>
      <sz val="18"/>
      <color rgb="FF000000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3" fillId="0" borderId="0" xfId="0" applyNumberFormat="1" applyFont="1"/>
    <xf numFmtId="0" fontId="7" fillId="0" borderId="0" xfId="0" applyFont="1"/>
    <xf numFmtId="2" fontId="6" fillId="0" borderId="0" xfId="0" applyNumberFormat="1" applyFon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5" borderId="0" xfId="0" applyFont="1" applyFill="1"/>
    <xf numFmtId="0" fontId="6" fillId="0" borderId="0" xfId="0" applyFont="1"/>
    <xf numFmtId="0" fontId="19" fillId="0" borderId="2" xfId="0" applyFont="1" applyBorder="1" applyAlignment="1">
      <alignment horizontal="center" vertical="top"/>
    </xf>
    <xf numFmtId="0" fontId="7" fillId="5" borderId="0" xfId="0" applyFont="1" applyFill="1"/>
    <xf numFmtId="0" fontId="18" fillId="4" borderId="3" xfId="0" applyFont="1" applyFill="1" applyBorder="1"/>
    <xf numFmtId="2" fontId="18" fillId="4" borderId="3" xfId="0" applyNumberFormat="1" applyFont="1" applyFill="1" applyBorder="1"/>
    <xf numFmtId="0" fontId="3" fillId="0" borderId="3" xfId="0" applyFont="1" applyBorder="1"/>
    <xf numFmtId="1" fontId="6" fillId="5" borderId="0" xfId="0" applyNumberFormat="1" applyFont="1" applyFill="1"/>
    <xf numFmtId="1" fontId="6" fillId="0" borderId="0" xfId="0" applyNumberFormat="1" applyFont="1"/>
    <xf numFmtId="1" fontId="0" fillId="0" borderId="0" xfId="0" applyNumberFormat="1"/>
    <xf numFmtId="0" fontId="18" fillId="0" borderId="0" xfId="0" applyFont="1"/>
    <xf numFmtId="0" fontId="0" fillId="0" borderId="5" xfId="0" applyBorder="1"/>
    <xf numFmtId="0" fontId="0" fillId="0" borderId="2" xfId="0" applyBorder="1"/>
    <xf numFmtId="0" fontId="0" fillId="0" borderId="1" xfId="0" pivotButton="1" applyBorder="1"/>
    <xf numFmtId="0" fontId="0" fillId="0" borderId="4" xfId="0" applyBorder="1"/>
    <xf numFmtId="0" fontId="20" fillId="0" borderId="0" xfId="0" pivotButton="1" applyFont="1"/>
    <xf numFmtId="0" fontId="20" fillId="0" borderId="0" xfId="0" applyFont="1"/>
    <xf numFmtId="0" fontId="20" fillId="0" borderId="0" xfId="0" applyFont="1" applyAlignment="1">
      <alignment horizontal="left"/>
    </xf>
    <xf numFmtId="1" fontId="20" fillId="0" borderId="0" xfId="0" applyNumberFormat="1" applyFont="1"/>
    <xf numFmtId="9" fontId="20" fillId="0" borderId="0" xfId="0" applyNumberFormat="1" applyFont="1"/>
    <xf numFmtId="0" fontId="20" fillId="0" borderId="0" xfId="0" applyFont="1" applyAlignment="1">
      <alignment horizontal="left" indent="1"/>
    </xf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9" fontId="21" fillId="3" borderId="0" xfId="0" applyNumberFormat="1" applyFont="1" applyFill="1"/>
    <xf numFmtId="9" fontId="21" fillId="7" borderId="0" xfId="0" applyNumberFormat="1" applyFont="1" applyFill="1"/>
    <xf numFmtId="9" fontId="21" fillId="6" borderId="0" xfId="0" applyNumberFormat="1" applyFont="1" applyFill="1"/>
    <xf numFmtId="0" fontId="17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name val="Georgia"/>
        <family val="1"/>
        <scheme val="none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>
          <bgColor theme="6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sz val="14"/>
      </font>
    </dxf>
    <dxf>
      <font>
        <name val="Georgia"/>
        <family val="1"/>
        <scheme val="none"/>
      </font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border outline="0">
        <bottom style="medium">
          <color theme="1"/>
        </bottom>
      </border>
    </dxf>
    <dxf>
      <numFmt numFmtId="13" formatCode="0%"/>
    </dxf>
    <dxf>
      <numFmt numFmtId="164" formatCode="0.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3" formatCode="0%"/>
    </dxf>
    <dxf>
      <numFmt numFmtId="165" formatCode="0.0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7DB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Survey Analysis.xlsx]Deeper Analysis!PivotTable22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Expectation v/s</a:t>
            </a:r>
            <a:r>
              <a:rPr lang="en-US" sz="1600" b="1" baseline="0">
                <a:solidFill>
                  <a:schemeClr val="tx1"/>
                </a:solidFill>
              </a:rPr>
              <a:t> Experiences </a:t>
            </a:r>
            <a:r>
              <a:rPr lang="en-US" sz="1600" b="1">
                <a:solidFill>
                  <a:schemeClr val="tx1"/>
                </a:solidFill>
              </a:rPr>
              <a:t>Gap</a:t>
            </a:r>
          </a:p>
        </c:rich>
      </c:tx>
      <c:layout>
        <c:manualLayout>
          <c:xMode val="edge"/>
          <c:yMode val="edge"/>
          <c:x val="0.2748510708487789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66457755175208"/>
          <c:y val="0.17777777777777778"/>
          <c:w val="0.70429352949768298"/>
          <c:h val="0.720462962962962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'Deeper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'Deeper Analysis'!$A$49:$A$59</c:f>
              <c:strCache>
                <c:ptCount val="11"/>
                <c:pt idx="0">
                  <c:v>Comfortable and Clean Rooms</c:v>
                </c:pt>
                <c:pt idx="1">
                  <c:v>Modern Fitness Facilities</c:v>
                </c:pt>
                <c:pt idx="2">
                  <c:v>Family-Friendly Services</c:v>
                </c:pt>
                <c:pt idx="3">
                  <c:v>Delicious Breakfast</c:v>
                </c:pt>
                <c:pt idx="4">
                  <c:v>Stylish Interior Design</c:v>
                </c:pt>
                <c:pt idx="5">
                  <c:v>Friendly and Helpful Staff</c:v>
                </c:pt>
                <c:pt idx="6">
                  <c:v>Easy Parking &amp; Check-in</c:v>
                </c:pt>
                <c:pt idx="7">
                  <c:v>Business Amenities</c:v>
                </c:pt>
                <c:pt idx="8">
                  <c:v>Fast and Reliable Wi-Fi</c:v>
                </c:pt>
                <c:pt idx="9">
                  <c:v>Reservation &amp; Communication</c:v>
                </c:pt>
                <c:pt idx="10">
                  <c:v>Quiet and Restful Environment</c:v>
                </c:pt>
              </c:strCache>
            </c:strRef>
          </c:cat>
          <c:val>
            <c:numRef>
              <c:f>'Deeper Analysis'!$B$49:$B$59</c:f>
              <c:numCache>
                <c:formatCode>0</c:formatCode>
                <c:ptCount val="11"/>
                <c:pt idx="0">
                  <c:v>-16</c:v>
                </c:pt>
                <c:pt idx="1">
                  <c:v>-13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-9</c:v>
                </c:pt>
                <c:pt idx="7">
                  <c:v>-7</c:v>
                </c:pt>
                <c:pt idx="8">
                  <c:v>-5</c:v>
                </c:pt>
                <c:pt idx="9">
                  <c:v>-5</c:v>
                </c:pt>
                <c:pt idx="1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C-2B46-B6F3-E3A26F406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599235168"/>
        <c:axId val="598921728"/>
      </c:barChart>
      <c:catAx>
        <c:axId val="5992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98921728"/>
        <c:crosses val="autoZero"/>
        <c:auto val="1"/>
        <c:lblAlgn val="ctr"/>
        <c:lblOffset val="0"/>
        <c:noMultiLvlLbl val="0"/>
      </c:catAx>
      <c:valAx>
        <c:axId val="59892172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5992351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Survey Analysis.xlsx]Deeper Analysis!PivotTable20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Total CheckIn v/s Total CheckOut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50354461506263"/>
          <c:y val="0.12526014573784924"/>
          <c:w val="0.64586915007717061"/>
          <c:h val="0.8096061242484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'Deeper Analysis'!$B$17</c:f>
              <c:strCache>
                <c:ptCount val="1"/>
                <c:pt idx="0">
                  <c:v>Check In Persuaded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'Deeper Analysis'!$A$18:$A$28</c:f>
              <c:strCache>
                <c:ptCount val="11"/>
                <c:pt idx="0">
                  <c:v>Easy Parking &amp; Check-in</c:v>
                </c:pt>
                <c:pt idx="1">
                  <c:v>Stylish Interior Design</c:v>
                </c:pt>
                <c:pt idx="2">
                  <c:v>Reservation &amp; Communication</c:v>
                </c:pt>
                <c:pt idx="3">
                  <c:v>Family-Friendly Services</c:v>
                </c:pt>
                <c:pt idx="4">
                  <c:v>Business Amenities</c:v>
                </c:pt>
                <c:pt idx="5">
                  <c:v>Friendly and Helpful Staff</c:v>
                </c:pt>
                <c:pt idx="6">
                  <c:v>Modern Fitness Facilities</c:v>
                </c:pt>
                <c:pt idx="7">
                  <c:v>Fast and Reliable Wi-Fi</c:v>
                </c:pt>
                <c:pt idx="8">
                  <c:v>Delicious Breakfast</c:v>
                </c:pt>
                <c:pt idx="9">
                  <c:v>Comfortable and Clean Rooms</c:v>
                </c:pt>
                <c:pt idx="10">
                  <c:v>Quiet and Restful Environment</c:v>
                </c:pt>
              </c:strCache>
            </c:strRef>
          </c:cat>
          <c:val>
            <c:numRef>
              <c:f>'Deeper Analysis'!$B$18:$B$28</c:f>
              <c:numCache>
                <c:formatCode>0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FA44-955D-41CCF244DE1F}"/>
            </c:ext>
          </c:extLst>
        </c:ser>
        <c:ser>
          <c:idx val="1"/>
          <c:order val="1"/>
          <c:tx>
            <c:strRef>
              <c:f>'Deeper Analysis'!$C$17</c:f>
              <c:strCache>
                <c:ptCount val="1"/>
                <c:pt idx="0">
                  <c:v>Check Out Impressed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'Deeper Analysis'!$A$18:$A$28</c:f>
              <c:strCache>
                <c:ptCount val="11"/>
                <c:pt idx="0">
                  <c:v>Easy Parking &amp; Check-in</c:v>
                </c:pt>
                <c:pt idx="1">
                  <c:v>Stylish Interior Design</c:v>
                </c:pt>
                <c:pt idx="2">
                  <c:v>Reservation &amp; Communication</c:v>
                </c:pt>
                <c:pt idx="3">
                  <c:v>Family-Friendly Services</c:v>
                </c:pt>
                <c:pt idx="4">
                  <c:v>Business Amenities</c:v>
                </c:pt>
                <c:pt idx="5">
                  <c:v>Friendly and Helpful Staff</c:v>
                </c:pt>
                <c:pt idx="6">
                  <c:v>Modern Fitness Facilities</c:v>
                </c:pt>
                <c:pt idx="7">
                  <c:v>Fast and Reliable Wi-Fi</c:v>
                </c:pt>
                <c:pt idx="8">
                  <c:v>Delicious Breakfast</c:v>
                </c:pt>
                <c:pt idx="9">
                  <c:v>Comfortable and Clean Rooms</c:v>
                </c:pt>
                <c:pt idx="10">
                  <c:v>Quiet and Restful Environment</c:v>
                </c:pt>
              </c:strCache>
            </c:strRef>
          </c:cat>
          <c:val>
            <c:numRef>
              <c:f>'Deeper Analysis'!$C$18:$C$28</c:f>
              <c:numCache>
                <c:formatCode>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21</c:v>
                </c:pt>
                <c:pt idx="8">
                  <c:v>16</c:v>
                </c:pt>
                <c:pt idx="9">
                  <c:v>10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1-FA44-955D-41CCF244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100"/>
        <c:axId val="335698496"/>
        <c:axId val="336275248"/>
      </c:barChart>
      <c:catAx>
        <c:axId val="3356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36275248"/>
        <c:crosses val="autoZero"/>
        <c:auto val="1"/>
        <c:lblAlgn val="ctr"/>
        <c:lblOffset val="100"/>
        <c:noMultiLvlLbl val="0"/>
      </c:catAx>
      <c:valAx>
        <c:axId val="3362752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35698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Survey Analysis.xlsx]Deeper Analysis!PivotTable21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+mn-lt"/>
              </a:rPr>
              <a:t>Expectations</a:t>
            </a:r>
            <a:r>
              <a:rPr lang="en-US" sz="2000" b="1" baseline="0">
                <a:solidFill>
                  <a:schemeClr val="tx1"/>
                </a:solidFill>
                <a:latin typeface="+mn-lt"/>
              </a:rPr>
              <a:t> v/s Experiences Alignment</a:t>
            </a:r>
            <a:endParaRPr lang="en-US" sz="2000" b="1">
              <a:solidFill>
                <a:schemeClr val="tx1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9314778822443071"/>
          <c:y val="5.917712093839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021276810770905"/>
          <c:y val="0.19322539488857995"/>
          <c:w val="0.65154521634784146"/>
          <c:h val="0.759155582029748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'Deeper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'Deeper Analysis'!$A$34:$A$44</c:f>
              <c:strCache>
                <c:ptCount val="11"/>
                <c:pt idx="0">
                  <c:v>Stylish Interior Design</c:v>
                </c:pt>
                <c:pt idx="1">
                  <c:v>Easy Parking &amp; Check-in</c:v>
                </c:pt>
                <c:pt idx="2">
                  <c:v>Family-Friendly Services</c:v>
                </c:pt>
                <c:pt idx="3">
                  <c:v>Comfortable and Clean Rooms</c:v>
                </c:pt>
                <c:pt idx="4">
                  <c:v>Modern Fitness Facilities</c:v>
                </c:pt>
                <c:pt idx="5">
                  <c:v>Friendly and Helpful Staff</c:v>
                </c:pt>
                <c:pt idx="6">
                  <c:v>Reservation &amp; Communication</c:v>
                </c:pt>
                <c:pt idx="7">
                  <c:v>Business Amenities</c:v>
                </c:pt>
                <c:pt idx="8">
                  <c:v>Delicious Breakfast</c:v>
                </c:pt>
                <c:pt idx="9">
                  <c:v>Fast and Reliable Wi-Fi</c:v>
                </c:pt>
                <c:pt idx="10">
                  <c:v>Quiet and Restful Environment</c:v>
                </c:pt>
              </c:strCache>
            </c:strRef>
          </c:cat>
          <c:val>
            <c:numRef>
              <c:f>'Deeper Analysis'!$B$34:$B$44</c:f>
              <c:numCache>
                <c:formatCode>0%</c:formatCode>
                <c:ptCount val="11"/>
                <c:pt idx="0">
                  <c:v>9.0909090909090912E-2</c:v>
                </c:pt>
                <c:pt idx="1">
                  <c:v>0.18181818181818182</c:v>
                </c:pt>
                <c:pt idx="2">
                  <c:v>0.21428571428571427</c:v>
                </c:pt>
                <c:pt idx="3">
                  <c:v>0.38461538461538464</c:v>
                </c:pt>
                <c:pt idx="4">
                  <c:v>0.40909090909090912</c:v>
                </c:pt>
                <c:pt idx="5">
                  <c:v>0.44444444444444442</c:v>
                </c:pt>
                <c:pt idx="6">
                  <c:v>0.58333333333333337</c:v>
                </c:pt>
                <c:pt idx="7">
                  <c:v>0.58823529411764708</c:v>
                </c:pt>
                <c:pt idx="8">
                  <c:v>0.61538461538461542</c:v>
                </c:pt>
                <c:pt idx="9">
                  <c:v>0.80769230769230771</c:v>
                </c:pt>
                <c:pt idx="1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A-B44F-937D-B9A3AE7C3E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564620816"/>
        <c:axId val="545486256"/>
      </c:barChart>
      <c:catAx>
        <c:axId val="5646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45486256"/>
        <c:crosses val="autoZero"/>
        <c:auto val="1"/>
        <c:lblAlgn val="ctr"/>
        <c:lblOffset val="100"/>
        <c:noMultiLvlLbl val="0"/>
      </c:catAx>
      <c:valAx>
        <c:axId val="545486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646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Survey Analysis.xlsx]Deeper Analysis!PivotTable22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Georgia" panose="02040502050405020303" pitchFamily="18" charset="0"/>
              </a:rPr>
              <a:t>Expectations v/s</a:t>
            </a:r>
            <a:r>
              <a:rPr lang="en-US" sz="2000" b="1" baseline="0">
                <a:solidFill>
                  <a:schemeClr val="tx1"/>
                </a:solidFill>
                <a:latin typeface="Georgia" panose="02040502050405020303" pitchFamily="18" charset="0"/>
              </a:rPr>
              <a:t> Experiences </a:t>
            </a:r>
            <a:r>
              <a:rPr lang="en-US" sz="2000" b="1">
                <a:solidFill>
                  <a:schemeClr val="tx1"/>
                </a:solidFill>
                <a:latin typeface="Georgia" panose="02040502050405020303" pitchFamily="18" charset="0"/>
              </a:rPr>
              <a:t>Gap</a:t>
            </a:r>
          </a:p>
        </c:rich>
      </c:tx>
      <c:layout>
        <c:manualLayout>
          <c:xMode val="edge"/>
          <c:yMode val="edge"/>
          <c:x val="0.20587185632613614"/>
          <c:y val="5.0575251710526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58725345929314"/>
          <c:y val="0.20772974692159138"/>
          <c:w val="0.63194951893397655"/>
          <c:h val="0.758972430773709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'Deeper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'Deeper Analysis'!$A$49:$A$59</c:f>
              <c:strCache>
                <c:ptCount val="11"/>
                <c:pt idx="0">
                  <c:v>Comfortable and Clean Rooms</c:v>
                </c:pt>
                <c:pt idx="1">
                  <c:v>Modern Fitness Facilities</c:v>
                </c:pt>
                <c:pt idx="2">
                  <c:v>Family-Friendly Services</c:v>
                </c:pt>
                <c:pt idx="3">
                  <c:v>Delicious Breakfast</c:v>
                </c:pt>
                <c:pt idx="4">
                  <c:v>Stylish Interior Design</c:v>
                </c:pt>
                <c:pt idx="5">
                  <c:v>Friendly and Helpful Staff</c:v>
                </c:pt>
                <c:pt idx="6">
                  <c:v>Easy Parking &amp; Check-in</c:v>
                </c:pt>
                <c:pt idx="7">
                  <c:v>Business Amenities</c:v>
                </c:pt>
                <c:pt idx="8">
                  <c:v>Fast and Reliable Wi-Fi</c:v>
                </c:pt>
                <c:pt idx="9">
                  <c:v>Reservation &amp; Communication</c:v>
                </c:pt>
                <c:pt idx="10">
                  <c:v>Quiet and Restful Environment</c:v>
                </c:pt>
              </c:strCache>
            </c:strRef>
          </c:cat>
          <c:val>
            <c:numRef>
              <c:f>'Deeper Analysis'!$B$49:$B$59</c:f>
              <c:numCache>
                <c:formatCode>0</c:formatCode>
                <c:ptCount val="11"/>
                <c:pt idx="0">
                  <c:v>-16</c:v>
                </c:pt>
                <c:pt idx="1">
                  <c:v>-13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-9</c:v>
                </c:pt>
                <c:pt idx="7">
                  <c:v>-7</c:v>
                </c:pt>
                <c:pt idx="8">
                  <c:v>-5</c:v>
                </c:pt>
                <c:pt idx="9">
                  <c:v>-5</c:v>
                </c:pt>
                <c:pt idx="1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F4B-A2A5-D11CF883BD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599235168"/>
        <c:axId val="598921728"/>
      </c:barChart>
      <c:catAx>
        <c:axId val="5992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98921728"/>
        <c:crosses val="autoZero"/>
        <c:auto val="1"/>
        <c:lblAlgn val="ctr"/>
        <c:lblOffset val="0"/>
        <c:noMultiLvlLbl val="0"/>
      </c:catAx>
      <c:valAx>
        <c:axId val="59892172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5992351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58</xdr:row>
      <xdr:rowOff>127000</xdr:rowOff>
    </xdr:from>
    <xdr:to>
      <xdr:col>9</xdr:col>
      <xdr:colOff>787400</xdr:colOff>
      <xdr:row>79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950175-7FDE-E1D8-1D35-254A372F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784831</xdr:colOff>
      <xdr:row>0</xdr:row>
      <xdr:rowOff>99888</xdr:rowOff>
    </xdr:from>
    <xdr:to>
      <xdr:col>23</xdr:col>
      <xdr:colOff>114157</xdr:colOff>
      <xdr:row>4</xdr:row>
      <xdr:rowOff>156967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1E0432B0-2164-A9D8-A697-7262959C47E5}"/>
            </a:ext>
          </a:extLst>
        </xdr:cNvPr>
        <xdr:cNvSpPr/>
      </xdr:nvSpPr>
      <xdr:spPr>
        <a:xfrm>
          <a:off x="784831" y="99888"/>
          <a:ext cx="22117978" cy="742023"/>
        </a:xfrm>
        <a:prstGeom prst="roundRect">
          <a:avLst/>
        </a:prstGeom>
        <a:solidFill>
          <a:srgbClr val="002060">
            <a:alpha val="44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>
              <a:latin typeface="Georgia" panose="02040502050405020303" pitchFamily="18" charset="0"/>
            </a:rPr>
            <a:t>Hotel Survey Analysis Dashboard</a:t>
          </a:r>
        </a:p>
      </xdr:txBody>
    </xdr:sp>
    <xdr:clientData/>
  </xdr:twoCellAnchor>
  <xdr:twoCellAnchor>
    <xdr:from>
      <xdr:col>0</xdr:col>
      <xdr:colOff>328203</xdr:colOff>
      <xdr:row>12</xdr:row>
      <xdr:rowOff>99885</xdr:rowOff>
    </xdr:from>
    <xdr:to>
      <xdr:col>9</xdr:col>
      <xdr:colOff>524839</xdr:colOff>
      <xdr:row>52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437EE-5BA7-1C49-989E-A0F04A16B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656405</xdr:colOff>
      <xdr:row>12</xdr:row>
      <xdr:rowOff>99878</xdr:rowOff>
    </xdr:from>
    <xdr:to>
      <xdr:col>18</xdr:col>
      <xdr:colOff>727753</xdr:colOff>
      <xdr:row>31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D58A8F-D19F-0841-8102-ED32F8180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684944</xdr:colOff>
      <xdr:row>31</xdr:row>
      <xdr:rowOff>156966</xdr:rowOff>
    </xdr:from>
    <xdr:to>
      <xdr:col>18</xdr:col>
      <xdr:colOff>742023</xdr:colOff>
      <xdr:row>52</xdr:row>
      <xdr:rowOff>85617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5E1ED-FACC-6843-A9E2-B69929513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8.721514699071" createdVersion="8" refreshedVersion="8" minRefreshableVersion="3" recordCount="11" xr:uid="{4DA67FD4-B8CA-0E49-88FE-10749A951109}">
  <cacheSource type="worksheet">
    <worksheetSource name="T_Analysis"/>
  </cacheSource>
  <cacheFields count="10">
    <cacheField name="Options_list" numFmtId="0">
      <sharedItems count="11">
        <s v="Comfortable and Clean Rooms"/>
        <s v="Delicious Breakfast"/>
        <s v="Fast and Reliable Wi-Fi"/>
        <s v="Friendly and Helpful Staff"/>
        <s v="Quiet and Restful Environment"/>
        <s v="Modern Fitness Facilities"/>
        <s v="Family-Friendly Services"/>
        <s v="Business Amenities"/>
        <s v="Easy Parking &amp; Check-in"/>
        <s v="Stylish Interior Design"/>
        <s v="Reservation &amp; Communication"/>
      </sharedItems>
    </cacheField>
    <cacheField name="CheckIn Persuaded" numFmtId="1">
      <sharedItems containsSemiMixedTypes="0" containsString="0" containsNumber="1" containsInteger="1" minValue="11" maxValue="36"/>
    </cacheField>
    <cacheField name="CheckOut Impressed" numFmtId="1">
      <sharedItems containsSemiMixedTypes="0" containsString="0" containsNumber="1" containsInteger="1" minValue="1" maxValue="32"/>
    </cacheField>
    <cacheField name="CheckIn Only" numFmtId="1">
      <sharedItems containsSemiMixedTypes="0" containsString="0" containsNumber="1" containsInteger="1" minValue="4" maxValue="16"/>
    </cacheField>
    <cacheField name="CheckOut only" numFmtId="1">
      <sharedItems containsSemiMixedTypes="0" containsString="0" containsNumber="1" containsInteger="1" minValue="0" maxValue="1"/>
    </cacheField>
    <cacheField name="The Intersection" numFmtId="0">
      <sharedItems containsSemiMixedTypes="0" containsString="0" containsNumber="1" containsInteger="1" minValue="1" maxValue="32"/>
    </cacheField>
    <cacheField name="Alignment" numFmtId="9">
      <sharedItems containsSemiMixedTypes="0" containsString="0" containsNumber="1" minValue="9.0909090909090912E-2" maxValue="0.88888888888888884"/>
    </cacheField>
    <cacheField name="Gap" numFmtId="1">
      <sharedItems containsSemiMixedTypes="0" containsString="0" containsNumber="1" containsInteger="1" minValue="-16" maxValue="-4"/>
    </cacheField>
    <cacheField name="Expectations Decline %" numFmtId="9">
      <sharedItems containsSemiMixedTypes="0" containsString="0" containsNumber="1" minValue="-0.90909090909090906" maxValue="-0.1111111111111111"/>
    </cacheField>
    <cacheField name="Performance Bucketing" numFmtId="0">
      <sharedItems count="4">
        <s v="Underperforming Priority"/>
        <s v="High Impact Aligned"/>
        <s v="Needs Improvement"/>
        <s v="Low Eng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8.72151516204" createdVersion="8" refreshedVersion="8" minRefreshableVersion="3" recordCount="11" xr:uid="{25C8C961-5C75-2F44-A3C8-ADED76BEAFFA}">
  <cacheSource type="worksheet">
    <worksheetSource name="Table4"/>
  </cacheSource>
  <cacheFields count="8">
    <cacheField name="Options_List" numFmtId="0">
      <sharedItems count="11">
        <s v="Comfortable and Clean Rooms"/>
        <s v="Delicious Breakfast"/>
        <s v="Fast and Reliable Wi-Fi"/>
        <s v="Friendly and Helpful Staff"/>
        <s v="Quiet and Restful Environment"/>
        <s v="Modern Fitness Facilities"/>
        <s v="Family-Friendly Services"/>
        <s v="Business Amenities"/>
        <s v="Easy Parking &amp; Check-in"/>
        <s v="Stylish Interior Design"/>
        <s v="Reservation &amp; Communication"/>
      </sharedItems>
    </cacheField>
    <cacheField name="CheckIn Persuaded Only" numFmtId="0">
      <sharedItems containsSemiMixedTypes="0" containsString="0" containsNumber="1" containsInteger="1" minValue="4" maxValue="16"/>
    </cacheField>
    <cacheField name="CheckOut Impressed Only" numFmtId="0">
      <sharedItems containsSemiMixedTypes="0" containsString="0" containsNumber="1" containsInteger="1" minValue="0" maxValue="12"/>
    </cacheField>
    <cacheField name="Both" numFmtId="0">
      <sharedItems containsSemiMixedTypes="0" containsString="0" containsNumber="1" containsInteger="1" minValue="1" maxValue="32"/>
    </cacheField>
    <cacheField name="Expectations v/s Experiences Gap" numFmtId="0">
      <sharedItems containsSemiMixedTypes="0" containsString="0" containsNumber="1" containsInteger="1" minValue="-16" maxValue="2"/>
    </cacheField>
    <cacheField name="Expectations v/s Experiences Alignment" numFmtId="9">
      <sharedItems containsSemiMixedTypes="0" containsString="0" containsNumber="1" minValue="9.0909090909090912E-2" maxValue="0.88888888888888884"/>
    </cacheField>
    <cacheField name="Overdelivery (Mentions) %" numFmtId="164">
      <sharedItems containsSemiMixedTypes="0" containsString="0" containsNumber="1" minValue="-1" maxValue="0.5"/>
    </cacheField>
    <cacheField name="Underdelivery (Mentions) %" numFmtId="9">
      <sharedItems containsSemiMixedTypes="0" containsString="0" containsNumber="1" minValue="0.1111111111111111" maxValue="0.90909090909090906"/>
    </cacheField>
  </cacheFields>
  <extLst>
    <ext xmlns:x14="http://schemas.microsoft.com/office/spreadsheetml/2009/9/main" uri="{725AE2AE-9491-48be-B2B4-4EB974FC3084}">
      <x14:pivotCacheDefinition pivotCacheId="5979808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6"/>
    <n v="10"/>
    <n v="16"/>
    <n v="0"/>
    <n v="10"/>
    <n v="0.38461538461538464"/>
    <n v="-16"/>
    <n v="-0.61538461538461542"/>
    <x v="0"/>
  </r>
  <r>
    <x v="1"/>
    <n v="26"/>
    <n v="16"/>
    <n v="11"/>
    <n v="1"/>
    <n v="15"/>
    <n v="0.61538461538461542"/>
    <n v="-10"/>
    <n v="-0.38461538461538464"/>
    <x v="0"/>
  </r>
  <r>
    <x v="2"/>
    <n v="26"/>
    <n v="21"/>
    <n v="5"/>
    <n v="0"/>
    <n v="21"/>
    <n v="0.80769230769230771"/>
    <n v="-5"/>
    <n v="-0.19230769230769232"/>
    <x v="1"/>
  </r>
  <r>
    <x v="3"/>
    <n v="18"/>
    <n v="8"/>
    <n v="10"/>
    <n v="0"/>
    <n v="8"/>
    <n v="0.44444444444444442"/>
    <n v="-10"/>
    <n v="-0.55555555555555558"/>
    <x v="2"/>
  </r>
  <r>
    <x v="4"/>
    <n v="36"/>
    <n v="32"/>
    <n v="4"/>
    <n v="0"/>
    <n v="32"/>
    <n v="0.88888888888888884"/>
    <n v="-4"/>
    <n v="-0.1111111111111111"/>
    <x v="1"/>
  </r>
  <r>
    <x v="5"/>
    <n v="22"/>
    <n v="9"/>
    <n v="13"/>
    <n v="0"/>
    <n v="9"/>
    <n v="0.40909090909090912"/>
    <n v="-13"/>
    <n v="-0.59090909090909094"/>
    <x v="2"/>
  </r>
  <r>
    <x v="6"/>
    <n v="14"/>
    <n v="3"/>
    <n v="11"/>
    <n v="0"/>
    <n v="3"/>
    <n v="0.21428571428571427"/>
    <n v="-11"/>
    <n v="-0.7857142857142857"/>
    <x v="3"/>
  </r>
  <r>
    <x v="7"/>
    <n v="17"/>
    <n v="10"/>
    <n v="7"/>
    <n v="0"/>
    <n v="10"/>
    <n v="0.58823529411764708"/>
    <n v="-7"/>
    <n v="-0.41176470588235292"/>
    <x v="2"/>
  </r>
  <r>
    <x v="8"/>
    <n v="11"/>
    <n v="2"/>
    <n v="9"/>
    <n v="0"/>
    <n v="2"/>
    <n v="0.18181818181818182"/>
    <n v="-9"/>
    <n v="-0.81818181818181823"/>
    <x v="3"/>
  </r>
  <r>
    <x v="9"/>
    <n v="11"/>
    <n v="1"/>
    <n v="10"/>
    <n v="0"/>
    <n v="1"/>
    <n v="9.0909090909090912E-2"/>
    <n v="-10"/>
    <n v="-0.90909090909090906"/>
    <x v="3"/>
  </r>
  <r>
    <x v="10"/>
    <n v="12"/>
    <n v="7"/>
    <n v="5"/>
    <n v="0"/>
    <n v="7"/>
    <n v="0.58333333333333337"/>
    <n v="-5"/>
    <n v="-0.4166666666666666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6"/>
    <n v="0"/>
    <n v="10"/>
    <n v="-16"/>
    <n v="0.38461538461538464"/>
    <n v="-1"/>
    <n v="0.61538461538461542"/>
  </r>
  <r>
    <x v="1"/>
    <n v="11"/>
    <n v="1"/>
    <n v="15"/>
    <n v="-10"/>
    <n v="0.57692307692307687"/>
    <n v="-0.93333333333333335"/>
    <n v="0.42307692307692307"/>
  </r>
  <r>
    <x v="2"/>
    <n v="5"/>
    <n v="0"/>
    <n v="21"/>
    <n v="-5"/>
    <n v="0.80769230769230771"/>
    <n v="-1"/>
    <n v="0.19230769230769232"/>
  </r>
  <r>
    <x v="3"/>
    <n v="10"/>
    <n v="12"/>
    <n v="8"/>
    <n v="2"/>
    <n v="0.44444444444444442"/>
    <n v="0.5"/>
    <n v="0.55555555555555558"/>
  </r>
  <r>
    <x v="4"/>
    <n v="4"/>
    <n v="0"/>
    <n v="32"/>
    <n v="-4"/>
    <n v="0.88888888888888884"/>
    <n v="-1"/>
    <n v="0.1111111111111111"/>
  </r>
  <r>
    <x v="5"/>
    <n v="13"/>
    <n v="0"/>
    <n v="9"/>
    <n v="-13"/>
    <n v="0.40909090909090912"/>
    <n v="-1"/>
    <n v="0.59090909090909094"/>
  </r>
  <r>
    <x v="6"/>
    <n v="11"/>
    <n v="0"/>
    <n v="3"/>
    <n v="-11"/>
    <n v="0.21428571428571427"/>
    <n v="-1"/>
    <n v="0.7857142857142857"/>
  </r>
  <r>
    <x v="7"/>
    <n v="7"/>
    <n v="0"/>
    <n v="10"/>
    <n v="-7"/>
    <n v="0.58823529411764708"/>
    <n v="-1"/>
    <n v="0.41176470588235292"/>
  </r>
  <r>
    <x v="8"/>
    <n v="9"/>
    <n v="0"/>
    <n v="2"/>
    <n v="-9"/>
    <n v="0.18181818181818182"/>
    <n v="-1"/>
    <n v="0.81818181818181823"/>
  </r>
  <r>
    <x v="9"/>
    <n v="10"/>
    <n v="0"/>
    <n v="1"/>
    <n v="-10"/>
    <n v="9.0909090909090912E-2"/>
    <n v="-1"/>
    <n v="0.90909090909090906"/>
  </r>
  <r>
    <x v="10"/>
    <n v="5"/>
    <n v="0"/>
    <n v="7"/>
    <n v="-5"/>
    <n v="0.58333333333333337"/>
    <n v="-1"/>
    <n v="0.4166666666666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C87E9-BD3D-E546-8FA4-12180515C9CC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38">
  <location ref="E36:E47" firstHeaderRow="1" firstDataRow="1" firstDataCol="1"/>
  <pivotFields count="8">
    <pivotField axis="axisRow" compact="0" showAll="0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</pivotField>
    <pivotField compact="0" showAll="0"/>
    <pivotField compact="0" showAll="0"/>
    <pivotField compact="0" showAll="0"/>
    <pivotField compact="0" showAll="0"/>
    <pivotField name="Expectations v/s Experiences Alignment2" compact="0" numFmtId="9" showAll="0"/>
    <pivotField compact="0" numFmtId="164" showAll="0"/>
    <pivotField compact="0" numFmtId="9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formats count="2">
    <format dxfId="47">
      <pivotArea fieldPosition="0">
        <references count="1">
          <reference field="0" count="1">
            <x v="3"/>
          </reference>
        </references>
      </pivotArea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D09B1-B197-854C-9240-A254D762BE8A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7">
  <location ref="A36:A47" firstHeaderRow="1" firstDataRow="1" firstDataCol="1"/>
  <pivotFields count="8">
    <pivotField axis="axisRow" compact="0" outline="0" showAll="0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</pivotField>
    <pivotField compact="0" outline="0" showAll="0"/>
    <pivotField compact="0" outline="0" showAll="0"/>
    <pivotField compact="0" outline="0" showAll="0"/>
    <pivotField name="Expectations v/s Experiences Gap2" compact="0" outline="0" showAll="0"/>
    <pivotField compact="0" numFmtId="9" outline="0" showAll="0"/>
    <pivotField compact="0" numFmtId="164" outline="0" showAll="0"/>
    <pivotField compact="0" numFmtId="9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formats count="5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outline="0" fieldPosition="0">
        <references count="1">
          <reference field="0" count="0"/>
        </references>
      </pivotArea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06D04-AB25-994E-8016-CEFC7151ECC9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A48:B59" firstHeaderRow="1" firstDataRow="1" firstDataCol="1"/>
  <pivotFields count="10">
    <pivotField axis="axisRow" showAll="0" sortType="ascending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1" showAll="0"/>
    <pivotField numFmtId="1" showAll="0"/>
    <pivotField showAll="0"/>
    <pivotField numFmtId="9" showAll="0"/>
    <pivotField dataField="1" numFmtId="1" showAll="0"/>
    <pivotField numFmtId="9" showAll="0"/>
    <pivotField showAll="0"/>
  </pivotFields>
  <rowFields count="1">
    <field x="0"/>
  </rowFields>
  <rowItems count="11">
    <i>
      <x v="1"/>
    </i>
    <i>
      <x v="7"/>
    </i>
    <i>
      <x v="4"/>
    </i>
    <i>
      <x v="2"/>
    </i>
    <i>
      <x v="10"/>
    </i>
    <i>
      <x v="6"/>
    </i>
    <i>
      <x v="3"/>
    </i>
    <i>
      <x/>
    </i>
    <i>
      <x v="5"/>
    </i>
    <i>
      <x v="9"/>
    </i>
    <i>
      <x v="8"/>
    </i>
  </rowItems>
  <colItems count="1">
    <i/>
  </colItems>
  <dataFields count="1">
    <dataField name="Expectations v/s Experiences Gap" fld="7" baseField="0" baseItem="0" numFmtId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25798-A925-4047-83B0-75DD59D31845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3:B44" firstHeaderRow="1" firstDataRow="1" firstDataCol="1"/>
  <pivotFields count="10">
    <pivotField axis="axisRow" showAll="0" sortType="ascending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1" showAll="0"/>
    <pivotField numFmtId="1" showAll="0"/>
    <pivotField showAll="0"/>
    <pivotField dataField="1" numFmtId="9" showAll="0"/>
    <pivotField numFmtId="1" showAll="0"/>
    <pivotField numFmtId="9" showAll="0"/>
    <pivotField showAll="0"/>
  </pivotFields>
  <rowFields count="1">
    <field x="0"/>
  </rowFields>
  <rowItems count="11">
    <i>
      <x v="10"/>
    </i>
    <i>
      <x v="3"/>
    </i>
    <i>
      <x v="4"/>
    </i>
    <i>
      <x v="1"/>
    </i>
    <i>
      <x v="7"/>
    </i>
    <i>
      <x v="6"/>
    </i>
    <i>
      <x v="9"/>
    </i>
    <i>
      <x/>
    </i>
    <i>
      <x v="2"/>
    </i>
    <i>
      <x v="5"/>
    </i>
    <i>
      <x v="8"/>
    </i>
  </rowItems>
  <colItems count="1">
    <i/>
  </colItems>
  <dataFields count="1">
    <dataField name="Expectations v/s Experiences Alignment" fld="6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8F71C-252D-4742-8DB5-000B0715A011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7:C28" firstHeaderRow="0" firstDataRow="1" firstDataCol="1"/>
  <pivotFields count="10">
    <pivotField axis="axisRow" showAll="0" sortType="ascending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dataField="1" numFmtId="1" showAll="0"/>
    <pivotField numFmtId="1" showAll="0"/>
    <pivotField numFmtId="1" showAll="0"/>
    <pivotField showAll="0"/>
    <pivotField numFmtId="9" showAll="0"/>
    <pivotField numFmtId="1" showAll="0"/>
    <pivotField numFmtId="9" showAll="0"/>
    <pivotField showAll="0"/>
  </pivotFields>
  <rowFields count="1">
    <field x="0"/>
  </rowFields>
  <rowItems count="11">
    <i>
      <x v="3"/>
    </i>
    <i>
      <x v="10"/>
    </i>
    <i>
      <x v="9"/>
    </i>
    <i>
      <x v="4"/>
    </i>
    <i>
      <x/>
    </i>
    <i>
      <x v="6"/>
    </i>
    <i>
      <x v="7"/>
    </i>
    <i>
      <x v="5"/>
    </i>
    <i>
      <x v="2"/>
    </i>
    <i>
      <x v="1"/>
    </i>
    <i>
      <x v="8"/>
    </i>
  </rowItems>
  <colFields count="1">
    <field x="-2"/>
  </colFields>
  <colItems count="2">
    <i>
      <x/>
    </i>
    <i i="1">
      <x v="1"/>
    </i>
  </colItems>
  <dataFields count="2">
    <dataField name="Check In Persuaded" fld="1" baseField="0" baseItem="0" numFmtId="1"/>
    <dataField name="Check Out Impressed" fld="2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0FA4A-9B49-4E49-A2F0-11754EC34B7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16:W31" firstHeaderRow="0" firstDataRow="1" firstDataCol="1"/>
  <pivotFields count="10">
    <pivotField axis="axisRow" showAll="0" defaultSubtotal="0">
      <items count="11">
        <item x="7"/>
        <item x="0"/>
        <item x="1"/>
        <item x="8"/>
        <item x="6"/>
        <item x="2"/>
        <item x="3"/>
        <item x="5"/>
        <item x="4"/>
        <item x="10"/>
        <item x="9"/>
      </items>
    </pivotField>
    <pivotField dataField="1" numFmtId="1" showAll="0" defaultSubtotal="0"/>
    <pivotField numFmtId="1" showAll="0" defaultSubtotal="0"/>
    <pivotField numFmtId="1" showAll="0" defaultSubtotal="0"/>
    <pivotField numFmtId="1" showAll="0" defaultSubtotal="0"/>
    <pivotField showAll="0" defaultSubtotal="0"/>
    <pivotField dataField="1" numFmtId="9" showAll="0" defaultSubtotal="0"/>
    <pivotField dataField="1" numFmtId="1" showAll="0" defaultSubtotal="0"/>
    <pivotField numFmtId="9" showAll="0" defaultSubtotal="0"/>
    <pivotField axis="axisRow" showAll="0" defaultSubtotal="0">
      <items count="4">
        <item x="1"/>
        <item x="3"/>
        <item x="2"/>
        <item x="0"/>
      </items>
    </pivotField>
  </pivotFields>
  <rowFields count="2">
    <field x="9"/>
    <field x="0"/>
  </rowFields>
  <rowItems count="15">
    <i>
      <x/>
    </i>
    <i r="1">
      <x v="5"/>
    </i>
    <i r="1">
      <x v="8"/>
    </i>
    <i>
      <x v="1"/>
    </i>
    <i r="1">
      <x v="3"/>
    </i>
    <i r="1">
      <x v="4"/>
    </i>
    <i r="1">
      <x v="9"/>
    </i>
    <i r="1">
      <x v="10"/>
    </i>
    <i>
      <x v="2"/>
    </i>
    <i r="1">
      <x/>
    </i>
    <i r="1">
      <x v="6"/>
    </i>
    <i r="1">
      <x v="7"/>
    </i>
    <i>
      <x v="3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Check In Persuaded" fld="1" baseField="0" baseItem="0" numFmtId="1"/>
    <dataField name="Alignment%" fld="6" baseField="0" baseItem="0" numFmtId="9"/>
    <dataField name="Gap Count" fld="7" baseField="0" baseItem="0" numFmtId="1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9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fieldPosition="0">
        <references count="2">
          <reference field="0" count="2">
            <x v="5"/>
            <x v="8"/>
          </reference>
          <reference field="9" count="1" selected="0">
            <x v="0"/>
          </reference>
        </references>
      </pivotArea>
    </format>
    <format dxfId="12">
      <pivotArea dataOnly="0" labelOnly="1" fieldPosition="0">
        <references count="2">
          <reference field="0" count="4">
            <x v="3"/>
            <x v="4"/>
            <x v="9"/>
            <x v="10"/>
          </reference>
          <reference field="9" count="1" selected="0">
            <x v="1"/>
          </reference>
        </references>
      </pivotArea>
    </format>
    <format dxfId="11">
      <pivotArea dataOnly="0" labelOnly="1" fieldPosition="0">
        <references count="2">
          <reference field="0" count="3">
            <x v="0"/>
            <x v="6"/>
            <x v="7"/>
          </reference>
          <reference field="9" count="1" selected="0">
            <x v="2"/>
          </reference>
        </references>
      </pivotArea>
    </format>
    <format dxfId="10">
      <pivotArea dataOnly="0" labelOnly="1" fieldPosition="0">
        <references count="2">
          <reference field="0" count="2">
            <x v="1"/>
            <x v="2"/>
          </reference>
          <reference field="9" count="1" selected="0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9" type="button" dataOnly="0" labelOnly="1" outline="0" axis="axisRow" fieldPosition="0"/>
    </format>
    <format dxfId="5">
      <pivotArea dataOnly="0" labelOnly="1" fieldPosition="0">
        <references count="1">
          <reference field="9" count="0"/>
        </references>
      </pivotArea>
    </format>
    <format dxfId="4">
      <pivotArea dataOnly="0" labelOnly="1" fieldPosition="0">
        <references count="2">
          <reference field="0" count="2">
            <x v="5"/>
            <x v="8"/>
          </reference>
          <reference field="9" count="1" selected="0">
            <x v="0"/>
          </reference>
        </references>
      </pivotArea>
    </format>
    <format dxfId="3">
      <pivotArea dataOnly="0" labelOnly="1" fieldPosition="0">
        <references count="2">
          <reference field="0" count="4">
            <x v="3"/>
            <x v="4"/>
            <x v="9"/>
            <x v="10"/>
          </reference>
          <reference field="9" count="1" selected="0">
            <x v="1"/>
          </reference>
        </references>
      </pivotArea>
    </format>
    <format dxfId="2">
      <pivotArea dataOnly="0" labelOnly="1" fieldPosition="0">
        <references count="2">
          <reference field="0" count="3">
            <x v="0"/>
            <x v="6"/>
            <x v="7"/>
          </reference>
          <reference field="9" count="1" selected="0">
            <x v="2"/>
          </reference>
        </references>
      </pivotArea>
    </format>
    <format dxfId="1">
      <pivotArea dataOnly="0" labelOnly="1" fieldPosition="0">
        <references count="2">
          <reference field="0" count="2">
            <x v="1"/>
            <x v="2"/>
          </reference>
          <reference field="9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BA86F-1FEA-654D-B88A-62A84B3E227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Features">
  <location ref="T38:U49" firstHeaderRow="1" firstDataRow="1" firstDataCol="1"/>
  <pivotFields count="10">
    <pivotField axis="axisRow" showAll="0" sortType="ascending">
      <items count="12">
        <item x="7"/>
        <item x="0"/>
        <item x="1"/>
        <item x="8"/>
        <item x="6"/>
        <item x="2"/>
        <item x="3"/>
        <item x="5"/>
        <item x="4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1" showAll="0"/>
    <pivotField numFmtId="1" showAll="0"/>
    <pivotField showAll="0"/>
    <pivotField numFmtId="9" showAll="0"/>
    <pivotField numFmtId="1" showAll="0"/>
    <pivotField dataField="1" numFmtId="9" showAll="0"/>
    <pivotField showAll="0"/>
  </pivotFields>
  <rowFields count="1">
    <field x="0"/>
  </rowFields>
  <rowItems count="11">
    <i>
      <x v="10"/>
    </i>
    <i>
      <x v="3"/>
    </i>
    <i>
      <x v="4"/>
    </i>
    <i>
      <x v="1"/>
    </i>
    <i>
      <x v="7"/>
    </i>
    <i>
      <x v="6"/>
    </i>
    <i>
      <x v="9"/>
    </i>
    <i>
      <x/>
    </i>
    <i>
      <x v="2"/>
    </i>
    <i>
      <x v="5"/>
    </i>
    <i>
      <x v="8"/>
    </i>
  </rowItems>
  <colItems count="1">
    <i/>
  </colItems>
  <dataFields count="1">
    <dataField name="Expectations Decline%" fld="8" baseField="0" baseItem="0" numFmtId="9"/>
  </dataFields>
  <formats count="12">
    <format dxfId="29">
      <pivotArea type="all" dataOnly="0" outline="0" fieldPosition="0"/>
    </format>
    <format dxfId="28">
      <pivotArea type="all" dataOnly="0" outline="0" fieldPosition="0"/>
    </format>
    <format dxfId="27">
      <pivotArea collapsedLevelsAreSubtotals="1" fieldPosition="0">
        <references count="1">
          <reference field="0" count="3">
            <x v="3"/>
            <x v="4"/>
            <x v="10"/>
          </reference>
        </references>
      </pivotArea>
    </format>
    <format dxfId="26">
      <pivotArea collapsedLevelsAreSubtotals="1" fieldPosition="0">
        <references count="1">
          <reference field="0" count="2">
            <x v="5"/>
            <x v="8"/>
          </reference>
        </references>
      </pivotArea>
    </format>
    <format dxfId="25">
      <pivotArea collapsedLevelsAreSubtotals="1" fieldPosition="0">
        <references count="1">
          <reference field="0" count="5">
            <x v="0"/>
            <x v="1"/>
            <x v="6"/>
            <x v="7"/>
            <x v="9"/>
          </reference>
        </references>
      </pivotArea>
    </format>
    <format dxfId="24">
      <pivotArea collapsedLevelsAreSubtotals="1" fieldPosition="0">
        <references count="1">
          <reference field="0" count="1">
            <x v="2"/>
          </reference>
        </references>
      </pivotArea>
    </format>
    <format dxfId="23">
      <pivotArea collapsedLevelsAreSubtotals="1" fieldPosition="0">
        <references count="1">
          <reference field="0" count="1">
            <x v="2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50382-625A-6943-8CA1-3D967C66E082}" name="T_encoded" displayName="T_encoded" ref="D1:Y48" totalsRowShown="0" headerRowDxfId="59" headerRowBorderDxfId="58" tableBorderDxfId="57">
  <autoFilter ref="D1:Y48" xr:uid="{FAC50382-625A-6943-8CA1-3D967C66E082}"/>
  <tableColumns count="22">
    <tableColumn id="1" xr3:uid="{CA4C27E4-85E3-0146-9B1D-A1272298FDDE}" name="CheckIn_Comfortable and Clean Rooms"/>
    <tableColumn id="2" xr3:uid="{C5BCFB72-DEEA-734F-8A6F-EA59904E9A06}" name="CheckOut_Comfortable and Clean Rooms"/>
    <tableColumn id="3" xr3:uid="{2B99A19A-4887-F24F-940C-4A4A7C323E4D}" name="CheckIn_Delicious Breakfast"/>
    <tableColumn id="4" xr3:uid="{75E8EF4B-EB0E-3D44-A424-2E925039EAF1}" name="CheckOut_Delicious Breakfast"/>
    <tableColumn id="5" xr3:uid="{D0651B49-E679-9048-858B-C43B0239F703}" name="CheckIn_Fast and Reliable Wi-Fi"/>
    <tableColumn id="6" xr3:uid="{698ECB81-452A-BF44-9F85-36A96F1F97AE}" name="CheckOut_Fast and Reliable Wi-Fi"/>
    <tableColumn id="7" xr3:uid="{F998FD57-8040-A447-A24C-D338A2EF38A9}" name="CheckIn_Friendly and Helpful Staff"/>
    <tableColumn id="8" xr3:uid="{066E81CE-5DA7-0945-A9A7-4FFDBAE9A58A}" name="CheckOut_Friendly and Helpful Staff"/>
    <tableColumn id="9" xr3:uid="{5CA7FCD4-DFF7-C54B-8C70-90170C36EDC4}" name="CheckIn_Quiet and Restful Environment"/>
    <tableColumn id="10" xr3:uid="{07E720E5-2B7D-0F45-8A9F-CCE2D353767D}" name="CheckOut_Quiet and Restful Environment"/>
    <tableColumn id="11" xr3:uid="{06460FCA-B615-3A49-8175-4B5828FD9ADC}" name="CheckIn_Modern Fitness Facilities"/>
    <tableColumn id="12" xr3:uid="{80F3D3CE-12F2-4D4D-8120-630C5A401273}" name="CheckOut_Modern Fitness Facilities"/>
    <tableColumn id="13" xr3:uid="{2641B0F3-F181-D04D-8F0A-7AF454B6955A}" name="CheckIn_Family-Friendly Services"/>
    <tableColumn id="14" xr3:uid="{D70D74AE-C65F-2B4B-8C2B-58CF9D35D42D}" name="CheckOut_Family-Friendly Services"/>
    <tableColumn id="15" xr3:uid="{52047424-83CF-544A-980E-FF372A3955C2}" name="CheckIn_Business Amenities"/>
    <tableColumn id="16" xr3:uid="{52AABB97-56E1-6742-9E21-627B51967E8F}" name="CheckOut_Business Amenities"/>
    <tableColumn id="17" xr3:uid="{3319A452-EBCD-D941-AF9F-7C53B523D7E6}" name="CheckIn_Easy Parking &amp; Check-in"/>
    <tableColumn id="18" xr3:uid="{8CCFE80F-05F1-9642-B940-9316E5B5D437}" name="CheckOut_Easy Parking &amp; Check-in"/>
    <tableColumn id="19" xr3:uid="{7776FE89-1D70-0342-8B4C-E64756DBAC78}" name="CheckIn_Stylish Interior Design"/>
    <tableColumn id="20" xr3:uid="{947BFC11-D11C-3A4E-89BF-7F2AE9540409}" name="CheckOut_Stylish Interior Design"/>
    <tableColumn id="21" xr3:uid="{F94F98EE-5177-E141-A25B-A7E056559C72}" name="CheckIn_Reservation &amp; Communication"/>
    <tableColumn id="22" xr3:uid="{9E11FD6C-A1F3-BB43-AC68-C791DE9110D9}" name="CheckOut_Reservation &amp; Communic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3B959C-A075-1D43-990C-8914B27EA59B}" name="T_Summary" displayName="T_Summary" ref="A1:E12" totalsRowShown="0">
  <autoFilter ref="A1:E12" xr:uid="{1C3B959C-A075-1D43-990C-8914B27EA59B}"/>
  <tableColumns count="5">
    <tableColumn id="1" xr3:uid="{52017256-D528-9E4A-B3C5-AACB00EB8F92}" name="Options_list" dataDxfId="56"/>
    <tableColumn id="2" xr3:uid="{85B9F7F6-FC38-E046-8A32-C7CA8080F0AB}" name="CheckIn Persuaded" dataDxfId="55"/>
    <tableColumn id="3" xr3:uid="{E6FEAB77-22A9-3C4D-B14E-BC8C6CF0443C}" name="CheckOut Impressed" dataDxfId="54"/>
    <tableColumn id="4" xr3:uid="{7273AEA7-A9E7-4B4A-AC42-25215B013A88}" name="CheckIn %" dataDxfId="53">
      <calculatedColumnFormula>T_Summary[[#This Row],[CheckIn Persuaded]]/ SUM(T_Summary[[#This Row],[CheckIn Persuaded]], T_Summary[[#This Row],[CheckOut Impressed]])</calculatedColumnFormula>
    </tableColumn>
    <tableColumn id="5" xr3:uid="{0C04B8B0-AC27-0E4C-93A7-9C5841882780}" name="CheckOut %" dataCellStyle="Percent">
      <calculatedColumnFormula>T_Summary[[#This Row],[CheckOut Impressed]]/ SUM(T_Summary[[#This Row],[CheckIn Persuaded]], T_Summary[[#This Row],[CheckOut Impressed]])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E8AE1F-EC83-124A-97AD-81A813523BAD}" name="Table4" displayName="Table4" ref="A1:H12" totalsRowShown="0" headerRowDxfId="45">
  <autoFilter ref="A1:H12" xr:uid="{E0E8AE1F-EC83-124A-97AD-81A813523BAD}"/>
  <tableColumns count="8">
    <tableColumn id="1" xr3:uid="{9263C7B9-E183-AF4B-BA84-FCE3FE9F31C9}" name="Options_List" dataDxfId="44"/>
    <tableColumn id="2" xr3:uid="{D0F0E5B9-6267-FB48-8DC1-23AE0DE2DD16}" name="CheckIn Persuaded Only"/>
    <tableColumn id="3" xr3:uid="{86431DD5-C5B5-AC42-AF1B-A9D7F041A354}" name="CheckOut Impressed Only"/>
    <tableColumn id="4" xr3:uid="{3FEE313D-9CDC-B040-9A9B-51F2ACDE5318}" name="Both"/>
    <tableColumn id="5" xr3:uid="{DE009825-C5CE-2640-8EB2-22A98A2BD37C}" name="Expectations v/s Experiences Gap" dataDxfId="43">
      <calculatedColumnFormula>Table4[[#This Row],[CheckOut Impressed Only]]-Table4[[#This Row],[CheckIn Persuaded Only]]</calculatedColumnFormula>
    </tableColumn>
    <tableColumn id="6" xr3:uid="{0C504FDD-82BA-EB4B-9FAF-389722F81263}" name="Expectations v/s Experiences Alignment" dataDxfId="42">
      <calculatedColumnFormula>Table4[[#This Row],[Both]]/T_Summary[[#This Row],[CheckIn Persuaded]]</calculatedColumnFormula>
    </tableColumn>
    <tableColumn id="12" xr3:uid="{E4EEBE24-0F8B-5247-9AAD-FF762B7DB0D4}" name="Overdelivery (Mentions) %" dataDxfId="41" dataCellStyle="Percent">
      <calculatedColumnFormula>(Table4[[#This Row],[CheckOut Impressed Only]] - Table4[[#This Row],[Both]])/Table4[[#This Row],[Both]]</calculatedColumnFormula>
    </tableColumn>
    <tableColumn id="13" xr3:uid="{09268FAB-C185-E643-AEAF-CC0EF5627F1A}" name="Underdelivery (Mentions) %" dataDxfId="40">
      <calculatedColumnFormula>Table4[[#This Row],[CheckIn Persuaded Only]]/T_Summary[[#This Row],[CheckIn Persuaded]]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8DD34-C7DB-AA41-88C3-57EB45BF3D31}" name="T_Analysis" displayName="T_Analysis" ref="A1:J12" totalsRowShown="0" headerRowBorderDxfId="39" tableBorderDxfId="38">
  <autoFilter ref="A1:J12" xr:uid="{FC38DD34-C7DB-AA41-88C3-57EB45BF3D31}"/>
  <tableColumns count="10">
    <tableColumn id="1" xr3:uid="{9A7D2E66-14F2-EB4F-9000-5B5BA59F2B01}" name="Options_list" dataDxfId="37"/>
    <tableColumn id="2" xr3:uid="{54FD358F-ACE5-CF49-B841-5856E3BCEAFF}" name="CheckIn Persuaded" dataDxfId="36"/>
    <tableColumn id="3" xr3:uid="{230F8C06-8599-DF47-B9AF-B341274DAC0B}" name="CheckOut Impressed" dataDxfId="35"/>
    <tableColumn id="11" xr3:uid="{521DE272-D9DD-8B46-90AA-5256505DB55F}" name="CheckIn Only" dataDxfId="34"/>
    <tableColumn id="10" xr3:uid="{3328CB4F-1D34-1E44-9434-77D37C3D2964}" name="CheckOut only" dataDxfId="33"/>
    <tableColumn id="4" xr3:uid="{D82658F8-9AE5-8946-8BE3-FC1103B876B1}" name="The Intersection" dataDxfId="32"/>
    <tableColumn id="5" xr3:uid="{3BFBCCC9-E26F-FD47-BB25-3BCAF68DF8F2}" name="Alignment" dataCellStyle="Percent">
      <calculatedColumnFormula>T_Analysis[[#This Row],[CheckOut Impressed]]/T_Analysis[[#This Row],[CheckIn Persuaded]]</calculatedColumnFormula>
    </tableColumn>
    <tableColumn id="6" xr3:uid="{6CAA16E0-7C16-974B-9B07-16B7185405F1}" name="Gap" dataDxfId="31">
      <calculatedColumnFormula>T_Analysis[[#This Row],[CheckOut Impressed]]-T_Analysis[[#This Row],[CheckIn Persuaded]]</calculatedColumnFormula>
    </tableColumn>
    <tableColumn id="8" xr3:uid="{0CE162C5-8C10-A442-BD7A-E92B176B500C}" name="Expectations Decline %" dataCellStyle="Percent">
      <calculatedColumnFormula>(T_Analysis[[#This Row],[CheckOut Impressed]]-T_Analysis[[#This Row],[CheckIn Persuaded]])/ T_Analysis[[#This Row],[CheckIn Persuaded]]</calculatedColumnFormula>
    </tableColumn>
    <tableColumn id="7" xr3:uid="{791A134A-CBAE-3144-B9F4-49D872BF8A29}" name="Performance Bucketing" dataDxfId="30">
      <calculatedColumnFormula>IF(AND(B2&gt;=25, G2&gt;=0.7), "High Impact Aligned",
 IF(AND(B2&gt;=25, G2&lt;0.7, H2&lt;=-10), "Underperforming Priority",
 IF(AND(B2&lt;15, G2&lt;0.7), "Low Engagement",
 IF(AND(B2&lt;15, G2&gt;=0.7), "Overlooked Opportunity",
 IF(G2&gt;=0.7, "Potential Strength",
 "Needs Improvement")))))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4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opLeftCell="B1" workbookViewId="0">
      <selection activeCell="C43" sqref="C43"/>
    </sheetView>
  </sheetViews>
  <sheetFormatPr baseColWidth="10" defaultColWidth="12.6640625" defaultRowHeight="15" customHeight="1" x14ac:dyDescent="0.15"/>
  <cols>
    <col min="1" max="1" width="12.6640625" customWidth="1"/>
    <col min="2" max="2" width="176.6640625" customWidth="1"/>
    <col min="3" max="3" width="105.6640625" customWidth="1"/>
    <col min="4" max="6" width="12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 t="s">
        <v>3</v>
      </c>
      <c r="B2" s="2" t="s">
        <v>4</v>
      </c>
      <c r="C2" s="2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7" ht="15.75" customHeight="1" x14ac:dyDescent="0.15">
      <c r="A3" s="2" t="s">
        <v>6</v>
      </c>
      <c r="B3" s="2" t="s">
        <v>7</v>
      </c>
      <c r="C3" s="2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7" ht="15.75" customHeight="1" x14ac:dyDescent="0.15">
      <c r="A4" s="2" t="s">
        <v>9</v>
      </c>
      <c r="B4" s="2" t="s">
        <v>10</v>
      </c>
      <c r="C4" s="2" t="s">
        <v>11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7" ht="15.75" customHeight="1" x14ac:dyDescent="0.15">
      <c r="A5" s="2" t="s">
        <v>12</v>
      </c>
      <c r="B5" s="2" t="s">
        <v>13</v>
      </c>
      <c r="C5" s="2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7" ht="15.75" customHeight="1" x14ac:dyDescent="0.15">
      <c r="A6" s="2" t="s">
        <v>15</v>
      </c>
      <c r="B6" s="2" t="s">
        <v>16</v>
      </c>
      <c r="C6" s="2" t="s">
        <v>17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7" ht="15.75" customHeight="1" x14ac:dyDescent="0.15">
      <c r="A7" s="2" t="s">
        <v>18</v>
      </c>
      <c r="B7" s="2" t="s">
        <v>19</v>
      </c>
      <c r="C7" s="2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7" ht="15.75" customHeight="1" x14ac:dyDescent="0.15">
      <c r="A8" s="2" t="s">
        <v>21</v>
      </c>
      <c r="B8" s="2" t="s">
        <v>19</v>
      </c>
      <c r="C8" s="2" t="s">
        <v>22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7" ht="15.75" customHeight="1" x14ac:dyDescent="0.15">
      <c r="A9" s="2" t="s">
        <v>23</v>
      </c>
      <c r="B9" s="2" t="s">
        <v>24</v>
      </c>
      <c r="C9" s="2" t="s">
        <v>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7" ht="15.75" customHeight="1" x14ac:dyDescent="0.15">
      <c r="A10" s="2" t="s">
        <v>26</v>
      </c>
      <c r="B10" s="2" t="s">
        <v>27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7" ht="15.75" customHeight="1" x14ac:dyDescent="0.15">
      <c r="A11" s="2" t="s">
        <v>29</v>
      </c>
      <c r="B11" s="2" t="s">
        <v>30</v>
      </c>
      <c r="C11" s="2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7" ht="15.75" customHeight="1" x14ac:dyDescent="0.15">
      <c r="A12" s="2" t="s">
        <v>32</v>
      </c>
      <c r="B12" s="2" t="s">
        <v>33</v>
      </c>
      <c r="C12" s="2" t="s">
        <v>17</v>
      </c>
    </row>
    <row r="13" spans="1:27" ht="15.75" customHeight="1" x14ac:dyDescent="0.15">
      <c r="A13" s="2" t="s">
        <v>34</v>
      </c>
      <c r="B13" s="2" t="s">
        <v>35</v>
      </c>
      <c r="C13" s="2" t="s">
        <v>36</v>
      </c>
    </row>
    <row r="14" spans="1:27" ht="15.75" customHeight="1" x14ac:dyDescent="0.15">
      <c r="A14" s="2" t="s">
        <v>37</v>
      </c>
      <c r="B14" s="2" t="s">
        <v>38</v>
      </c>
      <c r="C14" s="2" t="s">
        <v>39</v>
      </c>
    </row>
    <row r="15" spans="1:27" ht="15.75" customHeight="1" x14ac:dyDescent="0.15">
      <c r="A15" s="2" t="s">
        <v>40</v>
      </c>
      <c r="B15" s="2" t="s">
        <v>41</v>
      </c>
      <c r="C15" s="2" t="s">
        <v>42</v>
      </c>
    </row>
    <row r="16" spans="1:27" ht="15.75" customHeight="1" x14ac:dyDescent="0.15">
      <c r="A16" s="2" t="s">
        <v>43</v>
      </c>
      <c r="B16" s="2" t="s">
        <v>44</v>
      </c>
      <c r="C16" s="2" t="s">
        <v>45</v>
      </c>
    </row>
    <row r="17" spans="1:3" ht="15.75" customHeight="1" x14ac:dyDescent="0.15">
      <c r="A17" s="2" t="s">
        <v>46</v>
      </c>
      <c r="B17" s="2" t="s">
        <v>47</v>
      </c>
      <c r="C17" s="2" t="s">
        <v>48</v>
      </c>
    </row>
    <row r="18" spans="1:3" ht="15.75" customHeight="1" x14ac:dyDescent="0.15">
      <c r="A18" s="2" t="s">
        <v>49</v>
      </c>
      <c r="B18" s="2" t="s">
        <v>50</v>
      </c>
      <c r="C18" s="2" t="s">
        <v>51</v>
      </c>
    </row>
    <row r="19" spans="1:3" ht="15.75" customHeight="1" x14ac:dyDescent="0.15">
      <c r="A19" s="2" t="s">
        <v>52</v>
      </c>
      <c r="B19" s="2" t="s">
        <v>53</v>
      </c>
      <c r="C19" s="2" t="s">
        <v>54</v>
      </c>
    </row>
    <row r="20" spans="1:3" ht="15.75" customHeight="1" x14ac:dyDescent="0.15">
      <c r="A20" s="2" t="s">
        <v>55</v>
      </c>
      <c r="B20" s="2" t="s">
        <v>56</v>
      </c>
      <c r="C20" s="2" t="s">
        <v>48</v>
      </c>
    </row>
    <row r="21" spans="1:3" ht="15.75" customHeight="1" x14ac:dyDescent="0.15">
      <c r="A21" s="2" t="s">
        <v>57</v>
      </c>
      <c r="B21" s="2" t="s">
        <v>51</v>
      </c>
      <c r="C21" s="2" t="s">
        <v>58</v>
      </c>
    </row>
    <row r="22" spans="1:3" ht="15.75" customHeight="1" x14ac:dyDescent="0.15">
      <c r="A22" s="2" t="s">
        <v>59</v>
      </c>
      <c r="B22" s="2" t="s">
        <v>60</v>
      </c>
      <c r="C22" s="2" t="s">
        <v>61</v>
      </c>
    </row>
    <row r="23" spans="1:3" ht="15.75" customHeight="1" x14ac:dyDescent="0.15">
      <c r="A23" s="2" t="s">
        <v>62</v>
      </c>
      <c r="B23" s="2" t="s">
        <v>63</v>
      </c>
      <c r="C23" s="2" t="s">
        <v>64</v>
      </c>
    </row>
    <row r="24" spans="1:3" ht="15.75" customHeight="1" x14ac:dyDescent="0.15">
      <c r="A24" s="2" t="s">
        <v>65</v>
      </c>
      <c r="B24" s="2" t="s">
        <v>66</v>
      </c>
      <c r="C24" s="2" t="s">
        <v>67</v>
      </c>
    </row>
    <row r="25" spans="1:3" ht="15.75" customHeight="1" x14ac:dyDescent="0.15">
      <c r="A25" s="2" t="s">
        <v>68</v>
      </c>
      <c r="B25" s="2" t="s">
        <v>69</v>
      </c>
      <c r="C25" s="2" t="s">
        <v>70</v>
      </c>
    </row>
    <row r="26" spans="1:3" ht="15.75" customHeight="1" x14ac:dyDescent="0.15">
      <c r="A26" s="2" t="s">
        <v>71</v>
      </c>
      <c r="B26" s="2" t="s">
        <v>72</v>
      </c>
      <c r="C26" s="2" t="s">
        <v>73</v>
      </c>
    </row>
    <row r="27" spans="1:3" ht="15.75" customHeight="1" x14ac:dyDescent="0.15">
      <c r="A27" s="2" t="s">
        <v>74</v>
      </c>
      <c r="B27" s="2" t="s">
        <v>75</v>
      </c>
      <c r="C27" s="2" t="s">
        <v>76</v>
      </c>
    </row>
    <row r="28" spans="1:3" ht="15.75" customHeight="1" x14ac:dyDescent="0.15">
      <c r="A28" s="2" t="s">
        <v>77</v>
      </c>
      <c r="B28" s="2" t="s">
        <v>78</v>
      </c>
      <c r="C28" s="2" t="s">
        <v>79</v>
      </c>
    </row>
    <row r="29" spans="1:3" ht="15.75" customHeight="1" x14ac:dyDescent="0.15">
      <c r="A29" s="2" t="s">
        <v>80</v>
      </c>
      <c r="B29" s="2" t="s">
        <v>81</v>
      </c>
      <c r="C29" s="2" t="s">
        <v>82</v>
      </c>
    </row>
    <row r="30" spans="1:3" ht="15.75" customHeight="1" x14ac:dyDescent="0.15">
      <c r="A30" s="2" t="s">
        <v>83</v>
      </c>
      <c r="B30" s="2" t="s">
        <v>84</v>
      </c>
      <c r="C30" s="2" t="s">
        <v>85</v>
      </c>
    </row>
    <row r="31" spans="1:3" ht="15.75" customHeight="1" x14ac:dyDescent="0.15">
      <c r="A31" s="2" t="s">
        <v>86</v>
      </c>
      <c r="B31" s="2" t="s">
        <v>87</v>
      </c>
      <c r="C31" s="2" t="s">
        <v>88</v>
      </c>
    </row>
    <row r="32" spans="1:3" ht="15.75" customHeight="1" x14ac:dyDescent="0.15">
      <c r="A32" s="2" t="s">
        <v>89</v>
      </c>
      <c r="B32" s="2" t="s">
        <v>90</v>
      </c>
      <c r="C32" s="2" t="s">
        <v>91</v>
      </c>
    </row>
    <row r="33" spans="1:3" ht="15.75" customHeight="1" x14ac:dyDescent="0.15">
      <c r="A33" s="2" t="s">
        <v>92</v>
      </c>
      <c r="B33" s="2" t="s">
        <v>93</v>
      </c>
      <c r="C33" s="2" t="s">
        <v>58</v>
      </c>
    </row>
    <row r="34" spans="1:3" ht="15.75" customHeight="1" x14ac:dyDescent="0.15">
      <c r="A34" s="2" t="s">
        <v>94</v>
      </c>
      <c r="B34" s="2" t="s">
        <v>95</v>
      </c>
      <c r="C34" s="2" t="s">
        <v>96</v>
      </c>
    </row>
    <row r="35" spans="1:3" ht="15.75" customHeight="1" x14ac:dyDescent="0.15">
      <c r="A35" s="2" t="s">
        <v>97</v>
      </c>
      <c r="B35" s="2" t="s">
        <v>98</v>
      </c>
      <c r="C35" s="2" t="s">
        <v>99</v>
      </c>
    </row>
    <row r="36" spans="1:3" ht="15.75" customHeight="1" x14ac:dyDescent="0.15">
      <c r="A36" s="2" t="s">
        <v>100</v>
      </c>
      <c r="B36" s="2" t="s">
        <v>101</v>
      </c>
      <c r="C36" s="2" t="s">
        <v>58</v>
      </c>
    </row>
    <row r="37" spans="1:3" ht="15.75" customHeight="1" x14ac:dyDescent="0.15">
      <c r="A37" s="2" t="s">
        <v>102</v>
      </c>
      <c r="B37" s="2" t="s">
        <v>103</v>
      </c>
      <c r="C37" s="2" t="s">
        <v>104</v>
      </c>
    </row>
    <row r="38" spans="1:3" ht="15.75" customHeight="1" x14ac:dyDescent="0.15">
      <c r="A38" s="2" t="s">
        <v>105</v>
      </c>
      <c r="B38" s="2" t="s">
        <v>106</v>
      </c>
      <c r="C38" s="2" t="s">
        <v>106</v>
      </c>
    </row>
    <row r="39" spans="1:3" ht="15.75" customHeight="1" x14ac:dyDescent="0.15">
      <c r="A39" s="2" t="s">
        <v>107</v>
      </c>
      <c r="B39" s="2" t="s">
        <v>108</v>
      </c>
      <c r="C39" s="2" t="s">
        <v>108</v>
      </c>
    </row>
    <row r="40" spans="1:3" ht="15.75" customHeight="1" x14ac:dyDescent="0.15">
      <c r="A40" s="2" t="s">
        <v>109</v>
      </c>
      <c r="B40" s="2" t="s">
        <v>110</v>
      </c>
      <c r="C40" s="2" t="s">
        <v>108</v>
      </c>
    </row>
    <row r="41" spans="1:3" ht="15.75" customHeight="1" x14ac:dyDescent="0.15">
      <c r="A41" s="2" t="s">
        <v>111</v>
      </c>
      <c r="B41" s="2" t="s">
        <v>112</v>
      </c>
      <c r="C41" s="2" t="s">
        <v>113</v>
      </c>
    </row>
    <row r="42" spans="1:3" ht="15.75" customHeight="1" x14ac:dyDescent="0.15">
      <c r="A42" s="2" t="s">
        <v>114</v>
      </c>
      <c r="B42" s="2" t="s">
        <v>115</v>
      </c>
      <c r="C42" s="2" t="s">
        <v>58</v>
      </c>
    </row>
    <row r="43" spans="1:3" ht="15.75" customHeight="1" x14ac:dyDescent="0.15">
      <c r="A43" s="2" t="s">
        <v>116</v>
      </c>
      <c r="B43" s="2" t="s">
        <v>117</v>
      </c>
      <c r="C43" s="2" t="s">
        <v>58</v>
      </c>
    </row>
    <row r="44" spans="1:3" ht="15.75" customHeight="1" x14ac:dyDescent="0.15">
      <c r="A44" s="2" t="s">
        <v>118</v>
      </c>
      <c r="B44" s="2" t="s">
        <v>119</v>
      </c>
      <c r="C44" s="2" t="s">
        <v>104</v>
      </c>
    </row>
    <row r="45" spans="1:3" ht="15.75" customHeight="1" x14ac:dyDescent="0.15">
      <c r="A45" s="2" t="s">
        <v>120</v>
      </c>
      <c r="B45" s="2" t="s">
        <v>121</v>
      </c>
      <c r="C45" s="2" t="s">
        <v>122</v>
      </c>
    </row>
    <row r="46" spans="1:3" ht="15.75" customHeight="1" x14ac:dyDescent="0.15">
      <c r="A46" s="2" t="s">
        <v>123</v>
      </c>
      <c r="B46" s="2" t="s">
        <v>122</v>
      </c>
      <c r="C46" s="2" t="s">
        <v>122</v>
      </c>
    </row>
    <row r="47" spans="1:3" ht="15.75" customHeight="1" x14ac:dyDescent="0.15">
      <c r="A47" s="2" t="s">
        <v>124</v>
      </c>
      <c r="B47" s="2" t="s">
        <v>122</v>
      </c>
      <c r="C47" s="2" t="s">
        <v>122</v>
      </c>
    </row>
    <row r="48" spans="1:3" ht="15.75" customHeight="1" x14ac:dyDescent="0.15">
      <c r="A48" s="2" t="s">
        <v>125</v>
      </c>
      <c r="B48" s="2" t="s">
        <v>122</v>
      </c>
      <c r="C48" s="2" t="s">
        <v>122</v>
      </c>
    </row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workbookViewId="0">
      <selection activeCell="F47" sqref="F47"/>
    </sheetView>
  </sheetViews>
  <sheetFormatPr baseColWidth="10" defaultColWidth="8.83203125" defaultRowHeight="13" x14ac:dyDescent="0.15"/>
  <cols>
    <col min="1" max="1" width="14" bestFit="1" customWidth="1"/>
    <col min="2" max="2" width="195.33203125" bestFit="1" customWidth="1"/>
    <col min="3" max="3" width="117.5" bestFit="1" customWidth="1"/>
    <col min="4" max="4" width="35.83203125" customWidth="1"/>
    <col min="5" max="5" width="37.1640625" customWidth="1"/>
    <col min="6" max="6" width="27.1640625" customWidth="1"/>
    <col min="7" max="7" width="28.5" customWidth="1"/>
    <col min="8" max="8" width="29.83203125" customWidth="1"/>
    <col min="9" max="9" width="31.1640625" customWidth="1"/>
    <col min="10" max="10" width="31.6640625" customWidth="1"/>
    <col min="11" max="11" width="33" customWidth="1"/>
    <col min="12" max="12" width="36" customWidth="1"/>
    <col min="13" max="13" width="37.33203125" customWidth="1"/>
    <col min="14" max="14" width="31.6640625" customWidth="1"/>
    <col min="15" max="15" width="33" customWidth="1"/>
    <col min="16" max="16" width="31.6640625" customWidth="1"/>
    <col min="17" max="17" width="33" customWidth="1"/>
    <col min="18" max="18" width="27.5" customWidth="1"/>
    <col min="19" max="19" width="28.83203125" customWidth="1"/>
    <col min="20" max="20" width="31.5" customWidth="1"/>
    <col min="21" max="21" width="32.83203125" customWidth="1"/>
    <col min="22" max="22" width="29.33203125" customWidth="1"/>
    <col min="23" max="23" width="30.6640625" customWidth="1"/>
    <col min="24" max="24" width="35.83203125" customWidth="1"/>
    <col min="25" max="25" width="37.1640625" customWidth="1"/>
  </cols>
  <sheetData>
    <row r="1" spans="1:25" x14ac:dyDescent="0.15">
      <c r="A1" s="5" t="s">
        <v>0</v>
      </c>
      <c r="B1" s="5" t="s">
        <v>1</v>
      </c>
      <c r="C1" s="5" t="s">
        <v>2</v>
      </c>
      <c r="D1" s="25" t="s">
        <v>134</v>
      </c>
      <c r="E1" s="25" t="s">
        <v>135</v>
      </c>
      <c r="F1" s="25" t="s">
        <v>136</v>
      </c>
      <c r="G1" s="25" t="s">
        <v>137</v>
      </c>
      <c r="H1" s="25" t="s">
        <v>138</v>
      </c>
      <c r="I1" s="25" t="s">
        <v>139</v>
      </c>
      <c r="J1" s="25" t="s">
        <v>140</v>
      </c>
      <c r="K1" s="25" t="s">
        <v>141</v>
      </c>
      <c r="L1" s="25" t="s">
        <v>142</v>
      </c>
      <c r="M1" s="25" t="s">
        <v>143</v>
      </c>
      <c r="N1" s="25" t="s">
        <v>144</v>
      </c>
      <c r="O1" s="25" t="s">
        <v>145</v>
      </c>
      <c r="P1" s="25" t="s">
        <v>146</v>
      </c>
      <c r="Q1" s="25" t="s">
        <v>147</v>
      </c>
      <c r="R1" s="25" t="s">
        <v>148</v>
      </c>
      <c r="S1" s="25" t="s">
        <v>149</v>
      </c>
      <c r="T1" s="25" t="s">
        <v>150</v>
      </c>
      <c r="U1" s="25" t="s">
        <v>151</v>
      </c>
      <c r="V1" s="25" t="s">
        <v>152</v>
      </c>
      <c r="W1" s="25" t="s">
        <v>153</v>
      </c>
      <c r="X1" s="25" t="s">
        <v>154</v>
      </c>
      <c r="Y1" s="25" t="s">
        <v>155</v>
      </c>
    </row>
    <row r="2" spans="1:25" x14ac:dyDescent="0.15">
      <c r="A2" t="s">
        <v>3</v>
      </c>
      <c r="B2" t="s">
        <v>156</v>
      </c>
      <c r="C2" t="s">
        <v>157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15">
      <c r="A3" t="s">
        <v>6</v>
      </c>
      <c r="B3" t="s">
        <v>158</v>
      </c>
      <c r="C3" t="s">
        <v>159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</row>
    <row r="4" spans="1:25" x14ac:dyDescent="0.15">
      <c r="A4" t="s">
        <v>9</v>
      </c>
      <c r="B4" t="s">
        <v>160</v>
      </c>
      <c r="C4" t="s">
        <v>161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</row>
    <row r="5" spans="1:25" x14ac:dyDescent="0.15">
      <c r="A5" t="s">
        <v>12</v>
      </c>
      <c r="B5" t="s">
        <v>162</v>
      </c>
      <c r="C5" t="s">
        <v>163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</row>
    <row r="6" spans="1:25" x14ac:dyDescent="0.15">
      <c r="A6" t="s">
        <v>15</v>
      </c>
      <c r="B6" t="s">
        <v>164</v>
      </c>
      <c r="C6" t="s">
        <v>165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</row>
    <row r="7" spans="1:25" x14ac:dyDescent="0.15">
      <c r="A7" t="s">
        <v>18</v>
      </c>
      <c r="B7" t="s">
        <v>166</v>
      </c>
      <c r="C7" t="s">
        <v>167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15">
      <c r="A8" t="s">
        <v>21</v>
      </c>
      <c r="B8" t="s">
        <v>166</v>
      </c>
      <c r="C8" t="s">
        <v>168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15">
      <c r="A9" t="s">
        <v>23</v>
      </c>
      <c r="B9" t="s">
        <v>169</v>
      </c>
      <c r="C9" t="s">
        <v>170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15">
      <c r="A10" t="s">
        <v>26</v>
      </c>
      <c r="B10" t="s">
        <v>171</v>
      </c>
      <c r="C10" t="s">
        <v>172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15">
      <c r="A11" t="s">
        <v>29</v>
      </c>
      <c r="B11" t="s">
        <v>173</v>
      </c>
      <c r="C11" t="s">
        <v>174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</row>
    <row r="12" spans="1:25" x14ac:dyDescent="0.15">
      <c r="A12" t="s">
        <v>32</v>
      </c>
      <c r="B12" t="s">
        <v>175</v>
      </c>
      <c r="C12" t="s">
        <v>165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</row>
    <row r="13" spans="1:25" x14ac:dyDescent="0.15">
      <c r="A13" t="s">
        <v>34</v>
      </c>
      <c r="B13" t="s">
        <v>176</v>
      </c>
      <c r="C13" t="s">
        <v>177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</row>
    <row r="14" spans="1:25" x14ac:dyDescent="0.15">
      <c r="A14" t="s">
        <v>37</v>
      </c>
      <c r="B14" t="s">
        <v>178</v>
      </c>
      <c r="C14" t="s">
        <v>179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</row>
    <row r="15" spans="1:25" x14ac:dyDescent="0.15">
      <c r="A15" t="s">
        <v>40</v>
      </c>
      <c r="B15" t="s">
        <v>180</v>
      </c>
      <c r="C15" t="s">
        <v>181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</row>
    <row r="16" spans="1:25" x14ac:dyDescent="0.15">
      <c r="A16" t="s">
        <v>43</v>
      </c>
      <c r="B16" t="s">
        <v>182</v>
      </c>
      <c r="C16" t="s">
        <v>183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15">
      <c r="A17" t="s">
        <v>46</v>
      </c>
      <c r="B17" t="s">
        <v>184</v>
      </c>
      <c r="C17" t="s">
        <v>185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15">
      <c r="A18" t="s">
        <v>49</v>
      </c>
      <c r="B18" t="s">
        <v>186</v>
      </c>
      <c r="C18" t="s">
        <v>187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15">
      <c r="A19" t="s">
        <v>52</v>
      </c>
      <c r="B19" t="s">
        <v>188</v>
      </c>
      <c r="C19" t="s">
        <v>189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15">
      <c r="A20" t="s">
        <v>55</v>
      </c>
      <c r="B20" t="s">
        <v>190</v>
      </c>
      <c r="C20" t="s">
        <v>185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15">
      <c r="A21" t="s">
        <v>57</v>
      </c>
      <c r="B21" t="s">
        <v>187</v>
      </c>
      <c r="C21" t="s">
        <v>191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15">
      <c r="A22" t="s">
        <v>59</v>
      </c>
      <c r="B22" t="s">
        <v>192</v>
      </c>
      <c r="C22" t="s">
        <v>193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15">
      <c r="A23" t="s">
        <v>62</v>
      </c>
      <c r="B23" t="s">
        <v>194</v>
      </c>
      <c r="C23" t="s">
        <v>195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15">
      <c r="A24" t="s">
        <v>65</v>
      </c>
      <c r="B24" t="s">
        <v>196</v>
      </c>
      <c r="C24" t="s">
        <v>197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15">
      <c r="A25" t="s">
        <v>68</v>
      </c>
      <c r="B25" t="s">
        <v>198</v>
      </c>
      <c r="C25" t="s">
        <v>199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</row>
    <row r="26" spans="1:25" x14ac:dyDescent="0.15">
      <c r="A26" t="s">
        <v>71</v>
      </c>
      <c r="B26" t="s">
        <v>200</v>
      </c>
      <c r="C26" t="s">
        <v>201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</row>
    <row r="27" spans="1:25" x14ac:dyDescent="0.15">
      <c r="A27" t="s">
        <v>74</v>
      </c>
      <c r="B27" t="s">
        <v>202</v>
      </c>
      <c r="C27" t="s">
        <v>203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15">
      <c r="A28" t="s">
        <v>77</v>
      </c>
      <c r="B28" t="s">
        <v>204</v>
      </c>
      <c r="C28" t="s">
        <v>205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15">
      <c r="A29" t="s">
        <v>80</v>
      </c>
      <c r="B29" t="s">
        <v>206</v>
      </c>
      <c r="C29" t="s">
        <v>207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15">
      <c r="A30" t="s">
        <v>83</v>
      </c>
      <c r="B30" t="s">
        <v>208</v>
      </c>
      <c r="C30" t="s">
        <v>209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</row>
    <row r="31" spans="1:25" x14ac:dyDescent="0.15">
      <c r="A31" t="s">
        <v>86</v>
      </c>
      <c r="B31" t="s">
        <v>210</v>
      </c>
      <c r="C31" t="s">
        <v>211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</row>
    <row r="32" spans="1:25" x14ac:dyDescent="0.15">
      <c r="A32" t="s">
        <v>89</v>
      </c>
      <c r="B32" t="s">
        <v>212</v>
      </c>
      <c r="C32" t="s">
        <v>213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15">
      <c r="A33" t="s">
        <v>92</v>
      </c>
      <c r="B33" t="s">
        <v>214</v>
      </c>
      <c r="C33" t="s">
        <v>191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</row>
    <row r="34" spans="1:25" x14ac:dyDescent="0.15">
      <c r="A34" t="s">
        <v>94</v>
      </c>
      <c r="B34" t="s">
        <v>215</v>
      </c>
      <c r="C34" t="s">
        <v>216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</row>
    <row r="35" spans="1:25" x14ac:dyDescent="0.15">
      <c r="A35" t="s">
        <v>97</v>
      </c>
      <c r="B35" t="s">
        <v>217</v>
      </c>
      <c r="C35" t="s">
        <v>218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15">
      <c r="A36" t="s">
        <v>100</v>
      </c>
      <c r="B36" t="s">
        <v>219</v>
      </c>
      <c r="C36" t="s">
        <v>191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15">
      <c r="A37" t="s">
        <v>102</v>
      </c>
      <c r="B37" t="s">
        <v>220</v>
      </c>
      <c r="C37" t="s">
        <v>221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15">
      <c r="A38" t="s">
        <v>105</v>
      </c>
      <c r="B38" t="s">
        <v>222</v>
      </c>
      <c r="C38" t="s">
        <v>222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15">
      <c r="A39" t="s">
        <v>107</v>
      </c>
      <c r="B39" t="s">
        <v>223</v>
      </c>
      <c r="C39" t="s">
        <v>223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15">
      <c r="A40" t="s">
        <v>109</v>
      </c>
      <c r="B40" t="s">
        <v>224</v>
      </c>
      <c r="C40" t="s">
        <v>223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</row>
    <row r="41" spans="1:25" x14ac:dyDescent="0.15">
      <c r="A41" t="s">
        <v>111</v>
      </c>
      <c r="B41" t="s">
        <v>225</v>
      </c>
      <c r="C41" t="s">
        <v>226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</row>
    <row r="42" spans="1:25" x14ac:dyDescent="0.15">
      <c r="A42" t="s">
        <v>114</v>
      </c>
      <c r="B42" t="s">
        <v>227</v>
      </c>
      <c r="C42" t="s">
        <v>191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</row>
    <row r="43" spans="1:25" x14ac:dyDescent="0.15">
      <c r="A43" t="s">
        <v>116</v>
      </c>
      <c r="B43" t="s">
        <v>228</v>
      </c>
      <c r="C43" t="s">
        <v>191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</row>
    <row r="44" spans="1:25" x14ac:dyDescent="0.15">
      <c r="A44" t="s">
        <v>118</v>
      </c>
      <c r="B44" t="s">
        <v>229</v>
      </c>
      <c r="C44" t="s">
        <v>221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15">
      <c r="A45" t="s">
        <v>120</v>
      </c>
      <c r="B45" t="s">
        <v>230</v>
      </c>
      <c r="C45" t="s">
        <v>231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15">
      <c r="A46" t="s">
        <v>123</v>
      </c>
      <c r="B46" t="s">
        <v>231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15">
      <c r="A47" t="s">
        <v>124</v>
      </c>
      <c r="B47" t="s">
        <v>231</v>
      </c>
      <c r="C47" t="s">
        <v>231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15">
      <c r="A48" t="s">
        <v>125</v>
      </c>
      <c r="B48" t="s">
        <v>231</v>
      </c>
      <c r="C48" t="s">
        <v>231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</sheetData>
  <autoFilter ref="A1:C48" xr:uid="{00000000-0001-0000-0200-000000000000}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22" sqref="C22"/>
    </sheetView>
  </sheetViews>
  <sheetFormatPr baseColWidth="10" defaultRowHeight="13" x14ac:dyDescent="0.15"/>
  <cols>
    <col min="1" max="1" width="25.1640625" bestFit="1" customWidth="1"/>
    <col min="2" max="2" width="19.83203125" bestFit="1" customWidth="1"/>
    <col min="3" max="3" width="24.83203125" bestFit="1" customWidth="1"/>
    <col min="4" max="4" width="25.1640625" bestFit="1" customWidth="1"/>
    <col min="5" max="5" width="11" bestFit="1" customWidth="1"/>
  </cols>
  <sheetData>
    <row r="1" spans="1:5" x14ac:dyDescent="0.15">
      <c r="A1" s="4" t="s">
        <v>126</v>
      </c>
      <c r="B1" s="8" t="s">
        <v>244</v>
      </c>
      <c r="C1" s="8" t="s">
        <v>235</v>
      </c>
      <c r="D1" s="4" t="s">
        <v>239</v>
      </c>
      <c r="E1" s="4" t="s">
        <v>240</v>
      </c>
    </row>
    <row r="2" spans="1:5" ht="14" customHeight="1" x14ac:dyDescent="0.15">
      <c r="A2" s="9" t="s">
        <v>127</v>
      </c>
      <c r="B2" s="10">
        <f>SUM(T_encoded[CheckIn_Comfortable and Clean Rooms])</f>
        <v>26</v>
      </c>
      <c r="C2" s="10">
        <f>SUM(T_encoded[CheckOut_Comfortable and Clean Rooms])</f>
        <v>10</v>
      </c>
      <c r="D2" s="13">
        <f>T_Summary[[#This Row],[CheckIn Persuaded]]/ SUM(T_Summary[[#This Row],[CheckIn Persuaded]], T_Summary[[#This Row],[CheckOut Impressed]])</f>
        <v>0.72222222222222221</v>
      </c>
      <c r="E2" s="11">
        <f>T_Summary[[#This Row],[CheckOut Impressed]]/ SUM(T_Summary[[#This Row],[CheckIn Persuaded]], T_Summary[[#This Row],[CheckOut Impressed]])</f>
        <v>0.27777777777777779</v>
      </c>
    </row>
    <row r="3" spans="1:5" ht="14" customHeight="1" x14ac:dyDescent="0.15">
      <c r="A3" s="9" t="s">
        <v>106</v>
      </c>
      <c r="B3" s="10">
        <f>SUM(T_encoded[CheckIn_Delicious Breakfast])</f>
        <v>26</v>
      </c>
      <c r="C3" s="10">
        <f>SUM(T_encoded[CheckOut_Delicious Breakfast])</f>
        <v>16</v>
      </c>
      <c r="D3" s="13">
        <f>T_Summary[[#This Row],[CheckIn Persuaded]]/ SUM(T_Summary[[#This Row],[CheckIn Persuaded]], T_Summary[[#This Row],[CheckOut Impressed]])</f>
        <v>0.61904761904761907</v>
      </c>
      <c r="E3" s="11">
        <f>T_Summary[[#This Row],[CheckOut Impressed]]/ SUM(T_Summary[[#This Row],[CheckIn Persuaded]], T_Summary[[#This Row],[CheckOut Impressed]])</f>
        <v>0.38095238095238093</v>
      </c>
    </row>
    <row r="4" spans="1:5" ht="14" customHeight="1" x14ac:dyDescent="0.15">
      <c r="A4" s="9" t="s">
        <v>128</v>
      </c>
      <c r="B4" s="10">
        <f>SUM(T_encoded[CheckIn_Fast and Reliable Wi-Fi])</f>
        <v>26</v>
      </c>
      <c r="C4" s="10">
        <f>SUM(T_encoded[CheckOut_Fast and Reliable Wi-Fi])</f>
        <v>21</v>
      </c>
      <c r="D4" s="13">
        <f>T_Summary[[#This Row],[CheckIn Persuaded]]/ SUM(T_Summary[[#This Row],[CheckIn Persuaded]], T_Summary[[#This Row],[CheckOut Impressed]])</f>
        <v>0.55319148936170215</v>
      </c>
      <c r="E4" s="11">
        <f>T_Summary[[#This Row],[CheckOut Impressed]]/ SUM(T_Summary[[#This Row],[CheckIn Persuaded]], T_Summary[[#This Row],[CheckOut Impressed]])</f>
        <v>0.44680851063829785</v>
      </c>
    </row>
    <row r="5" spans="1:5" ht="14" customHeight="1" x14ac:dyDescent="0.15">
      <c r="A5" s="9" t="s">
        <v>129</v>
      </c>
      <c r="B5" s="10">
        <f>SUM(T_encoded[CheckIn_Friendly and Helpful Staff])</f>
        <v>18</v>
      </c>
      <c r="C5" s="10">
        <f>SUM(T_encoded[CheckOut_Friendly and Helpful Staff])</f>
        <v>8</v>
      </c>
      <c r="D5" s="13">
        <f>T_Summary[[#This Row],[CheckIn Persuaded]]/ SUM(T_Summary[[#This Row],[CheckIn Persuaded]], T_Summary[[#This Row],[CheckOut Impressed]])</f>
        <v>0.69230769230769229</v>
      </c>
      <c r="E5" s="11">
        <f>T_Summary[[#This Row],[CheckOut Impressed]]/ SUM(T_Summary[[#This Row],[CheckIn Persuaded]], T_Summary[[#This Row],[CheckOut Impressed]])</f>
        <v>0.30769230769230771</v>
      </c>
    </row>
    <row r="6" spans="1:5" ht="14" customHeight="1" x14ac:dyDescent="0.15">
      <c r="A6" s="9" t="s">
        <v>48</v>
      </c>
      <c r="B6" s="10">
        <f>SUM(T_encoded[CheckIn_Quiet and Restful Environment])</f>
        <v>36</v>
      </c>
      <c r="C6" s="10">
        <f>SUM(T_encoded[CheckOut_Quiet and Restful Environment])</f>
        <v>32</v>
      </c>
      <c r="D6" s="13">
        <f>T_Summary[[#This Row],[CheckIn Persuaded]]/ SUM(T_Summary[[#This Row],[CheckIn Persuaded]], T_Summary[[#This Row],[CheckOut Impressed]])</f>
        <v>0.52941176470588236</v>
      </c>
      <c r="E6" s="11">
        <f>T_Summary[[#This Row],[CheckOut Impressed]]/ SUM(T_Summary[[#This Row],[CheckIn Persuaded]], T_Summary[[#This Row],[CheckOut Impressed]])</f>
        <v>0.47058823529411764</v>
      </c>
    </row>
    <row r="7" spans="1:5" ht="14" customHeight="1" x14ac:dyDescent="0.15">
      <c r="A7" s="9" t="s">
        <v>130</v>
      </c>
      <c r="B7" s="10">
        <f>SUM(T_encoded[CheckIn_Modern Fitness Facilities])</f>
        <v>22</v>
      </c>
      <c r="C7" s="10">
        <f>SUM(T_encoded[CheckOut_Modern Fitness Facilities])</f>
        <v>9</v>
      </c>
      <c r="D7" s="13">
        <f>T_Summary[[#This Row],[CheckIn Persuaded]]/ SUM(T_Summary[[#This Row],[CheckIn Persuaded]], T_Summary[[#This Row],[CheckOut Impressed]])</f>
        <v>0.70967741935483875</v>
      </c>
      <c r="E7" s="11">
        <f>T_Summary[[#This Row],[CheckOut Impressed]]/ SUM(T_Summary[[#This Row],[CheckIn Persuaded]], T_Summary[[#This Row],[CheckOut Impressed]])</f>
        <v>0.29032258064516131</v>
      </c>
    </row>
    <row r="8" spans="1:5" ht="14" customHeight="1" x14ac:dyDescent="0.15">
      <c r="A8" s="9" t="s">
        <v>131</v>
      </c>
      <c r="B8" s="10">
        <f>SUM(T_encoded[CheckIn_Family-Friendly Services])</f>
        <v>14</v>
      </c>
      <c r="C8" s="10">
        <f>SUM(T_encoded[CheckOut_Family-Friendly Services])</f>
        <v>3</v>
      </c>
      <c r="D8" s="13">
        <f>T_Summary[[#This Row],[CheckIn Persuaded]]/ SUM(T_Summary[[#This Row],[CheckIn Persuaded]], T_Summary[[#This Row],[CheckOut Impressed]])</f>
        <v>0.82352941176470584</v>
      </c>
      <c r="E8" s="11">
        <f>T_Summary[[#This Row],[CheckOut Impressed]]/ SUM(T_Summary[[#This Row],[CheckIn Persuaded]], T_Summary[[#This Row],[CheckOut Impressed]])</f>
        <v>0.17647058823529413</v>
      </c>
    </row>
    <row r="9" spans="1:5" ht="14" customHeight="1" x14ac:dyDescent="0.15">
      <c r="A9" s="9" t="s">
        <v>122</v>
      </c>
      <c r="B9" s="10">
        <f>SUM(T_encoded[CheckIn_Business Amenities])</f>
        <v>17</v>
      </c>
      <c r="C9" s="10">
        <f>SUM(T_encoded[CheckOut_Business Amenities])</f>
        <v>10</v>
      </c>
      <c r="D9" s="13">
        <f>T_Summary[[#This Row],[CheckIn Persuaded]]/ SUM(T_Summary[[#This Row],[CheckIn Persuaded]], T_Summary[[#This Row],[CheckOut Impressed]])</f>
        <v>0.62962962962962965</v>
      </c>
      <c r="E9" s="11">
        <f>T_Summary[[#This Row],[CheckOut Impressed]]/ SUM(T_Summary[[#This Row],[CheckIn Persuaded]], T_Summary[[#This Row],[CheckOut Impressed]])</f>
        <v>0.37037037037037035</v>
      </c>
    </row>
    <row r="10" spans="1:5" ht="14" customHeight="1" x14ac:dyDescent="0.15">
      <c r="A10" s="9" t="s">
        <v>132</v>
      </c>
      <c r="B10" s="10">
        <f>SUM(T_encoded[CheckIn_Easy Parking &amp; Check-in])</f>
        <v>11</v>
      </c>
      <c r="C10" s="10">
        <f>SUM(T_encoded[CheckOut_Easy Parking &amp; Check-in])</f>
        <v>2</v>
      </c>
      <c r="D10" s="13">
        <f>T_Summary[[#This Row],[CheckIn Persuaded]]/ SUM(T_Summary[[#This Row],[CheckIn Persuaded]], T_Summary[[#This Row],[CheckOut Impressed]])</f>
        <v>0.84615384615384615</v>
      </c>
      <c r="E10" s="11">
        <f>T_Summary[[#This Row],[CheckOut Impressed]]/ SUM(T_Summary[[#This Row],[CheckIn Persuaded]], T_Summary[[#This Row],[CheckOut Impressed]])</f>
        <v>0.15384615384615385</v>
      </c>
    </row>
    <row r="11" spans="1:5" ht="14" customHeight="1" x14ac:dyDescent="0.15">
      <c r="A11" s="9" t="s">
        <v>133</v>
      </c>
      <c r="B11" s="10">
        <f>SUM(T_encoded[CheckIn_Stylish Interior Design])</f>
        <v>11</v>
      </c>
      <c r="C11" s="10">
        <f>SUM(T_encoded[CheckOut_Stylish Interior Design])</f>
        <v>1</v>
      </c>
      <c r="D11" s="13">
        <f>T_Summary[[#This Row],[CheckIn Persuaded]]/ SUM(T_Summary[[#This Row],[CheckIn Persuaded]], T_Summary[[#This Row],[CheckOut Impressed]])</f>
        <v>0.91666666666666663</v>
      </c>
      <c r="E11" s="11">
        <f>T_Summary[[#This Row],[CheckOut Impressed]]/ SUM(T_Summary[[#This Row],[CheckIn Persuaded]], T_Summary[[#This Row],[CheckOut Impressed]])</f>
        <v>8.3333333333333329E-2</v>
      </c>
    </row>
    <row r="12" spans="1:5" ht="14" customHeight="1" x14ac:dyDescent="0.15">
      <c r="A12" s="9" t="s">
        <v>17</v>
      </c>
      <c r="B12" s="10">
        <f>SUM(T_encoded[CheckIn_Reservation &amp; Communication])</f>
        <v>12</v>
      </c>
      <c r="C12" s="10">
        <f>SUM(T_encoded[CheckOut_Reservation &amp; Communication])</f>
        <v>7</v>
      </c>
      <c r="D12" s="13">
        <f>T_Summary[[#This Row],[CheckIn Persuaded]]/ SUM(T_Summary[[#This Row],[CheckIn Persuaded]], T_Summary[[#This Row],[CheckOut Impressed]])</f>
        <v>0.63157894736842102</v>
      </c>
      <c r="E12" s="11">
        <f>T_Summary[[#This Row],[CheckOut Impressed]]/ SUM(T_Summary[[#This Row],[CheckIn Persuaded]], T_Summary[[#This Row],[CheckOut Impressed]])</f>
        <v>0.36842105263157893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3FCC-8582-6E4C-8D4F-B5A4388F0561}">
  <dimension ref="A1:H47"/>
  <sheetViews>
    <sheetView topLeftCell="A4" workbookViewId="0">
      <selection activeCell="J65" sqref="J39:J65"/>
    </sheetView>
  </sheetViews>
  <sheetFormatPr baseColWidth="10" defaultRowHeight="13" x14ac:dyDescent="0.15"/>
  <cols>
    <col min="1" max="1" width="25.1640625" bestFit="1" customWidth="1"/>
    <col min="2" max="2" width="30" bestFit="1" customWidth="1"/>
    <col min="3" max="3" width="18.1640625" bestFit="1" customWidth="1"/>
    <col min="4" max="4" width="11" bestFit="1" customWidth="1"/>
    <col min="5" max="5" width="25.1640625" bestFit="1" customWidth="1"/>
    <col min="6" max="6" width="37.5" bestFit="1" customWidth="1"/>
    <col min="7" max="7" width="25.5" bestFit="1" customWidth="1"/>
    <col min="8" max="8" width="25.6640625" bestFit="1" customWidth="1"/>
  </cols>
  <sheetData>
    <row r="1" spans="1:8" x14ac:dyDescent="0.15">
      <c r="A1" s="4" t="s">
        <v>234</v>
      </c>
      <c r="B1" s="4" t="s">
        <v>245</v>
      </c>
      <c r="C1" s="4" t="s">
        <v>246</v>
      </c>
      <c r="D1" s="4" t="s">
        <v>233</v>
      </c>
      <c r="E1" s="4" t="s">
        <v>242</v>
      </c>
      <c r="F1" s="4" t="s">
        <v>243</v>
      </c>
      <c r="G1" s="4" t="s">
        <v>247</v>
      </c>
      <c r="H1" s="4" t="s">
        <v>248</v>
      </c>
    </row>
    <row r="2" spans="1:8" ht="14" x14ac:dyDescent="0.15">
      <c r="A2" s="3" t="s">
        <v>127</v>
      </c>
      <c r="B2">
        <f>COUNTIFS(T_encoded[CheckIn_Comfortable and Clean Rooms], 1, T_encoded[CheckOut_Comfortable and Clean Rooms], 0)</f>
        <v>16</v>
      </c>
      <c r="C2">
        <f>COUNTIFS(T_encoded[CheckIn_Comfortable and Clean Rooms], 0, T_encoded[CheckOut_Comfortable and Clean Rooms], 1)</f>
        <v>0</v>
      </c>
      <c r="D2">
        <f>COUNTIFS(T_encoded[CheckIn_Comfortable and Clean Rooms], 1, T_encoded[CheckOut_Comfortable and Clean Rooms], 1)</f>
        <v>10</v>
      </c>
      <c r="E2">
        <f>Table4[[#This Row],[CheckOut Impressed Only]]-Table4[[#This Row],[CheckIn Persuaded Only]]</f>
        <v>-16</v>
      </c>
      <c r="F2" s="13">
        <f>Table4[[#This Row],[Both]]/T_Summary[[#This Row],[CheckIn Persuaded]]</f>
        <v>0.38461538461538464</v>
      </c>
      <c r="G2" s="12">
        <f>(Table4[[#This Row],[CheckOut Impressed Only]] - Table4[[#This Row],[Both]])/Table4[[#This Row],[Both]]</f>
        <v>-1</v>
      </c>
      <c r="H2" s="13">
        <f>Table4[[#This Row],[CheckIn Persuaded Only]]/T_Summary[[#This Row],[CheckIn Persuaded]]</f>
        <v>0.61538461538461542</v>
      </c>
    </row>
    <row r="3" spans="1:8" ht="14" x14ac:dyDescent="0.15">
      <c r="A3" s="3" t="s">
        <v>106</v>
      </c>
      <c r="B3">
        <f>COUNTIFS(T_encoded[CheckIn_Delicious Breakfast], 1, T_encoded[CheckOut_Delicious Breakfast], 0)</f>
        <v>11</v>
      </c>
      <c r="C3">
        <f>COUNTIFS(T_encoded[CheckIn_Delicious Breakfast], 0, T_encoded[CheckOut_Delicious Breakfast], 1)</f>
        <v>1</v>
      </c>
      <c r="D3">
        <f>COUNTIFS(T_encoded[CheckIn_Delicious Breakfast], 1, T_encoded[CheckOut_Delicious Breakfast], 1)</f>
        <v>15</v>
      </c>
      <c r="E3">
        <f>Table4[[#This Row],[CheckOut Impressed Only]]-Table4[[#This Row],[CheckIn Persuaded Only]]</f>
        <v>-10</v>
      </c>
      <c r="F3" s="13">
        <f>Table4[[#This Row],[Both]]/T_Summary[[#This Row],[CheckIn Persuaded]]</f>
        <v>0.57692307692307687</v>
      </c>
      <c r="G3" s="12">
        <f>(Table4[[#This Row],[CheckOut Impressed Only]] - Table4[[#This Row],[Both]])/Table4[[#This Row],[Both]]</f>
        <v>-0.93333333333333335</v>
      </c>
      <c r="H3" s="13">
        <f>Table4[[#This Row],[CheckIn Persuaded Only]]/T_Summary[[#This Row],[CheckIn Persuaded]]</f>
        <v>0.42307692307692307</v>
      </c>
    </row>
    <row r="4" spans="1:8" ht="14" x14ac:dyDescent="0.15">
      <c r="A4" s="3" t="s">
        <v>128</v>
      </c>
      <c r="B4">
        <f>COUNTIFS(T_encoded[CheckIn_Fast and Reliable Wi-Fi], 1, T_encoded[CheckOut_Fast and Reliable Wi-Fi], 0)</f>
        <v>5</v>
      </c>
      <c r="C4">
        <f>COUNTIFS(T_encoded[CheckIn_Fast and Reliable Wi-Fi], 0, T_encoded[CheckOut_Fast and Reliable Wi-Fi], 1)</f>
        <v>0</v>
      </c>
      <c r="D4">
        <f>COUNTIFS(T_encoded[CheckIn_Fast and Reliable Wi-Fi], 1, T_encoded[CheckOut_Fast and Reliable Wi-Fi], 1)</f>
        <v>21</v>
      </c>
      <c r="E4">
        <f>Table4[[#This Row],[CheckOut Impressed Only]]-Table4[[#This Row],[CheckIn Persuaded Only]]</f>
        <v>-5</v>
      </c>
      <c r="F4" s="13">
        <f>Table4[[#This Row],[Both]]/T_Summary[[#This Row],[CheckIn Persuaded]]</f>
        <v>0.80769230769230771</v>
      </c>
      <c r="G4" s="12">
        <f>(Table4[[#This Row],[CheckOut Impressed Only]] - Table4[[#This Row],[Both]])/Table4[[#This Row],[Both]]</f>
        <v>-1</v>
      </c>
      <c r="H4" s="13">
        <f>Table4[[#This Row],[CheckIn Persuaded Only]]/T_Summary[[#This Row],[CheckIn Persuaded]]</f>
        <v>0.19230769230769232</v>
      </c>
    </row>
    <row r="5" spans="1:8" ht="14" x14ac:dyDescent="0.15">
      <c r="A5" s="3" t="s">
        <v>129</v>
      </c>
      <c r="B5">
        <f>COUNTIFS(T_encoded[CheckIn_Friendly and Helpful Staff], 1, T_encoded[CheckOut_Friendly and Helpful Staff], 0)</f>
        <v>10</v>
      </c>
      <c r="C5">
        <f>COUNTIFS(T_encoded[CheckIn_Friendly and Helpful Staff], 0, T_encoded[CheckOut_Fast and Reliable Wi-Fi], 1)</f>
        <v>12</v>
      </c>
      <c r="D5">
        <f>COUNTIFS(T_encoded[CheckIn_Friendly and Helpful Staff], 1, T_encoded[CheckOut_Friendly and Helpful Staff], 1)</f>
        <v>8</v>
      </c>
      <c r="E5">
        <f>Table4[[#This Row],[CheckOut Impressed Only]]-Table4[[#This Row],[CheckIn Persuaded Only]]</f>
        <v>2</v>
      </c>
      <c r="F5" s="13">
        <f>Table4[[#This Row],[Both]]/T_Summary[[#This Row],[CheckIn Persuaded]]</f>
        <v>0.44444444444444442</v>
      </c>
      <c r="G5" s="12">
        <f>(Table4[[#This Row],[CheckOut Impressed Only]] - Table4[[#This Row],[Both]])/Table4[[#This Row],[Both]]</f>
        <v>0.5</v>
      </c>
      <c r="H5" s="13">
        <f>Table4[[#This Row],[CheckIn Persuaded Only]]/T_Summary[[#This Row],[CheckIn Persuaded]]</f>
        <v>0.55555555555555558</v>
      </c>
    </row>
    <row r="6" spans="1:8" ht="14" x14ac:dyDescent="0.15">
      <c r="A6" s="3" t="s">
        <v>48</v>
      </c>
      <c r="B6">
        <f>COUNTIFS(T_encoded[CheckIn_Quiet and Restful Environment], 1, T_encoded[CheckOut_Quiet and Restful Environment], 0)</f>
        <v>4</v>
      </c>
      <c r="C6">
        <f>COUNTIFS(T_encoded[CheckIn_Quiet and Restful Environment], 0, T_encoded[CheckOut_Quiet and Restful Environment],1 )</f>
        <v>0</v>
      </c>
      <c r="D6">
        <f>COUNTIFS(T_encoded[CheckIn_Quiet and Restful Environment], 1, T_encoded[CheckOut_Quiet and Restful Environment],1 )</f>
        <v>32</v>
      </c>
      <c r="E6">
        <f>Table4[[#This Row],[CheckOut Impressed Only]]-Table4[[#This Row],[CheckIn Persuaded Only]]</f>
        <v>-4</v>
      </c>
      <c r="F6" s="13">
        <f>Table4[[#This Row],[Both]]/T_Summary[[#This Row],[CheckIn Persuaded]]</f>
        <v>0.88888888888888884</v>
      </c>
      <c r="G6" s="12">
        <f>(Table4[[#This Row],[CheckOut Impressed Only]] - Table4[[#This Row],[Both]])/Table4[[#This Row],[Both]]</f>
        <v>-1</v>
      </c>
      <c r="H6" s="13">
        <f>Table4[[#This Row],[CheckIn Persuaded Only]]/T_Summary[[#This Row],[CheckIn Persuaded]]</f>
        <v>0.1111111111111111</v>
      </c>
    </row>
    <row r="7" spans="1:8" ht="14" x14ac:dyDescent="0.15">
      <c r="A7" s="3" t="s">
        <v>130</v>
      </c>
      <c r="B7">
        <f>COUNTIFS(T_encoded[CheckIn_Modern Fitness Facilities], 1, T_encoded[CheckOut_Modern Fitness Facilities], 0)</f>
        <v>13</v>
      </c>
      <c r="C7">
        <f>COUNTIFS(T_encoded[CheckIn_Modern Fitness Facilities], 0, T_encoded[CheckOut_Modern Fitness Facilities], 1)</f>
        <v>0</v>
      </c>
      <c r="D7">
        <f>COUNTIFS(T_encoded[CheckIn_Modern Fitness Facilities], 1, T_encoded[CheckOut_Modern Fitness Facilities], 1)</f>
        <v>9</v>
      </c>
      <c r="E7">
        <f>Table4[[#This Row],[CheckOut Impressed Only]]-Table4[[#This Row],[CheckIn Persuaded Only]]</f>
        <v>-13</v>
      </c>
      <c r="F7" s="13">
        <f>Table4[[#This Row],[Both]]/T_Summary[[#This Row],[CheckIn Persuaded]]</f>
        <v>0.40909090909090912</v>
      </c>
      <c r="G7" s="12">
        <f>(Table4[[#This Row],[CheckOut Impressed Only]] - Table4[[#This Row],[Both]])/Table4[[#This Row],[Both]]</f>
        <v>-1</v>
      </c>
      <c r="H7" s="13">
        <f>Table4[[#This Row],[CheckIn Persuaded Only]]/T_Summary[[#This Row],[CheckIn Persuaded]]</f>
        <v>0.59090909090909094</v>
      </c>
    </row>
    <row r="8" spans="1:8" ht="14" x14ac:dyDescent="0.15">
      <c r="A8" s="3" t="s">
        <v>131</v>
      </c>
      <c r="B8">
        <f>COUNTIFS(T_encoded[CheckIn_Family-Friendly Services], 1, T_encoded[CheckOut_Family-Friendly Services], 0)</f>
        <v>11</v>
      </c>
      <c r="C8">
        <f>COUNTIFS(T_encoded[CheckIn_Family-Friendly Services], 0, T_encoded[CheckOut_Family-Friendly Services], 1)</f>
        <v>0</v>
      </c>
      <c r="D8">
        <f>COUNTIFS(T_encoded[CheckIn_Family-Friendly Services], 1, T_encoded[CheckOut_Family-Friendly Services], 1)</f>
        <v>3</v>
      </c>
      <c r="E8">
        <f>Table4[[#This Row],[CheckOut Impressed Only]]-Table4[[#This Row],[CheckIn Persuaded Only]]</f>
        <v>-11</v>
      </c>
      <c r="F8" s="13">
        <f>Table4[[#This Row],[Both]]/T_Summary[[#This Row],[CheckIn Persuaded]]</f>
        <v>0.21428571428571427</v>
      </c>
      <c r="G8" s="12">
        <f>(Table4[[#This Row],[CheckOut Impressed Only]] - Table4[[#This Row],[Both]])/Table4[[#This Row],[Both]]</f>
        <v>-1</v>
      </c>
      <c r="H8" s="13">
        <f>Table4[[#This Row],[CheckIn Persuaded Only]]/T_Summary[[#This Row],[CheckIn Persuaded]]</f>
        <v>0.7857142857142857</v>
      </c>
    </row>
    <row r="9" spans="1:8" ht="14" x14ac:dyDescent="0.15">
      <c r="A9" s="3" t="s">
        <v>122</v>
      </c>
      <c r="B9">
        <f>COUNTIFS(T_encoded[CheckIn_Business Amenities], 1, T_encoded[CheckOut_Business Amenities], 0)</f>
        <v>7</v>
      </c>
      <c r="C9">
        <f>COUNTIFS(T_encoded[CheckIn_Business Amenities], 0, T_encoded[CheckOut_Business Amenities], 1)</f>
        <v>0</v>
      </c>
      <c r="D9">
        <f>COUNTIFS(T_encoded[CheckIn_Business Amenities], 1, T_encoded[CheckOut_Business Amenities], 1)</f>
        <v>10</v>
      </c>
      <c r="E9">
        <f>Table4[[#This Row],[CheckOut Impressed Only]]-Table4[[#This Row],[CheckIn Persuaded Only]]</f>
        <v>-7</v>
      </c>
      <c r="F9" s="13">
        <f>Table4[[#This Row],[Both]]/T_Summary[[#This Row],[CheckIn Persuaded]]</f>
        <v>0.58823529411764708</v>
      </c>
      <c r="G9" s="12">
        <f>(Table4[[#This Row],[CheckOut Impressed Only]] - Table4[[#This Row],[Both]])/Table4[[#This Row],[Both]]</f>
        <v>-1</v>
      </c>
      <c r="H9" s="13">
        <f>Table4[[#This Row],[CheckIn Persuaded Only]]/T_Summary[[#This Row],[CheckIn Persuaded]]</f>
        <v>0.41176470588235292</v>
      </c>
    </row>
    <row r="10" spans="1:8" ht="14" x14ac:dyDescent="0.15">
      <c r="A10" s="3" t="s">
        <v>132</v>
      </c>
      <c r="B10">
        <f>COUNTIFS(T_encoded[CheckIn_Easy Parking &amp; Check-in], 1, T_encoded[CheckOut_Easy Parking &amp; Check-in], 0)</f>
        <v>9</v>
      </c>
      <c r="C10">
        <f>COUNTIFS(T_encoded[CheckIn_Easy Parking &amp; Check-in], 0, T_encoded[CheckOut_Easy Parking &amp; Check-in], 1)</f>
        <v>0</v>
      </c>
      <c r="D10">
        <f>COUNTIFS(T_encoded[CheckIn_Easy Parking &amp; Check-in], 1, T_encoded[CheckOut_Easy Parking &amp; Check-in], 1)</f>
        <v>2</v>
      </c>
      <c r="E10">
        <f>Table4[[#This Row],[CheckOut Impressed Only]]-Table4[[#This Row],[CheckIn Persuaded Only]]</f>
        <v>-9</v>
      </c>
      <c r="F10" s="13">
        <f>Table4[[#This Row],[Both]]/T_Summary[[#This Row],[CheckIn Persuaded]]</f>
        <v>0.18181818181818182</v>
      </c>
      <c r="G10" s="12">
        <f>(Table4[[#This Row],[CheckOut Impressed Only]] - Table4[[#This Row],[Both]])/Table4[[#This Row],[Both]]</f>
        <v>-1</v>
      </c>
      <c r="H10" s="13">
        <f>Table4[[#This Row],[CheckIn Persuaded Only]]/T_Summary[[#This Row],[CheckIn Persuaded]]</f>
        <v>0.81818181818181823</v>
      </c>
    </row>
    <row r="11" spans="1:8" ht="14" x14ac:dyDescent="0.15">
      <c r="A11" s="3" t="s">
        <v>133</v>
      </c>
      <c r="B11">
        <f>COUNTIFS(T_encoded[CheckIn_Stylish Interior Design], 1, T_encoded[CheckOut_Stylish Interior Design], 0)</f>
        <v>10</v>
      </c>
      <c r="C11">
        <f>COUNTIFS(T_encoded[CheckIn_Stylish Interior Design], 0, T_encoded[CheckOut_Stylish Interior Design], 1)</f>
        <v>0</v>
      </c>
      <c r="D11">
        <f>COUNTIFS(T_encoded[CheckIn_Stylish Interior Design], 1, T_encoded[CheckOut_Stylish Interior Design], 1)</f>
        <v>1</v>
      </c>
      <c r="E11">
        <f>Table4[[#This Row],[CheckOut Impressed Only]]-Table4[[#This Row],[CheckIn Persuaded Only]]</f>
        <v>-10</v>
      </c>
      <c r="F11" s="13">
        <f>Table4[[#This Row],[Both]]/T_Summary[[#This Row],[CheckIn Persuaded]]</f>
        <v>9.0909090909090912E-2</v>
      </c>
      <c r="G11" s="12">
        <f>(Table4[[#This Row],[CheckOut Impressed Only]] - Table4[[#This Row],[Both]])/Table4[[#This Row],[Both]]</f>
        <v>-1</v>
      </c>
      <c r="H11" s="13">
        <f>Table4[[#This Row],[CheckIn Persuaded Only]]/T_Summary[[#This Row],[CheckIn Persuaded]]</f>
        <v>0.90909090909090906</v>
      </c>
    </row>
    <row r="12" spans="1:8" ht="14" x14ac:dyDescent="0.15">
      <c r="A12" s="3" t="s">
        <v>17</v>
      </c>
      <c r="B12">
        <f>COUNTIFS(T_encoded[CheckIn_Reservation &amp; Communication], 1, T_encoded[CheckOut_Reservation &amp; Communication], 0)</f>
        <v>5</v>
      </c>
      <c r="C12">
        <f>COUNTIFS(T_encoded[CheckIn_Reservation &amp; Communication], 0, T_encoded[CheckOut_Reservation &amp; Communication], 1)</f>
        <v>0</v>
      </c>
      <c r="D12">
        <f>COUNTIFS(T_encoded[CheckIn_Reservation &amp; Communication], 1, T_encoded[CheckOut_Reservation &amp; Communication], 1)</f>
        <v>7</v>
      </c>
      <c r="E12">
        <f>Table4[[#This Row],[CheckOut Impressed Only]]-Table4[[#This Row],[CheckIn Persuaded Only]]</f>
        <v>-5</v>
      </c>
      <c r="F12" s="13">
        <f>Table4[[#This Row],[Both]]/T_Summary[[#This Row],[CheckIn Persuaded]]</f>
        <v>0.58333333333333337</v>
      </c>
      <c r="G12" s="12">
        <f>(Table4[[#This Row],[CheckOut Impressed Only]] - Table4[[#This Row],[Both]])/Table4[[#This Row],[Both]]</f>
        <v>-1</v>
      </c>
      <c r="H12" s="13">
        <f>Table4[[#This Row],[CheckIn Persuaded Only]]/T_Summary[[#This Row],[CheckIn Persuaded]]</f>
        <v>0.41666666666666669</v>
      </c>
    </row>
    <row r="14" spans="1:8" x14ac:dyDescent="0.15">
      <c r="F14" s="18" t="s">
        <v>236</v>
      </c>
      <c r="G14" s="19" t="s">
        <v>237</v>
      </c>
      <c r="H14" s="18" t="s">
        <v>238</v>
      </c>
    </row>
    <row r="36" spans="1:5" x14ac:dyDescent="0.15">
      <c r="A36" s="36" t="s">
        <v>234</v>
      </c>
      <c r="E36" s="6" t="s">
        <v>234</v>
      </c>
    </row>
    <row r="37" spans="1:5" x14ac:dyDescent="0.15">
      <c r="A37" s="37" t="s">
        <v>122</v>
      </c>
      <c r="E37" t="s">
        <v>122</v>
      </c>
    </row>
    <row r="38" spans="1:5" x14ac:dyDescent="0.15">
      <c r="A38" s="34" t="s">
        <v>127</v>
      </c>
      <c r="E38" t="s">
        <v>127</v>
      </c>
    </row>
    <row r="39" spans="1:5" x14ac:dyDescent="0.15">
      <c r="A39" s="34" t="s">
        <v>106</v>
      </c>
      <c r="E39" t="s">
        <v>106</v>
      </c>
    </row>
    <row r="40" spans="1:5" x14ac:dyDescent="0.15">
      <c r="A40" s="34" t="s">
        <v>132</v>
      </c>
      <c r="E40" t="s">
        <v>132</v>
      </c>
    </row>
    <row r="41" spans="1:5" x14ac:dyDescent="0.15">
      <c r="A41" s="34" t="s">
        <v>131</v>
      </c>
      <c r="E41" t="s">
        <v>131</v>
      </c>
    </row>
    <row r="42" spans="1:5" x14ac:dyDescent="0.15">
      <c r="A42" s="34" t="s">
        <v>128</v>
      </c>
      <c r="E42" t="s">
        <v>128</v>
      </c>
    </row>
    <row r="43" spans="1:5" x14ac:dyDescent="0.15">
      <c r="A43" s="34" t="s">
        <v>129</v>
      </c>
      <c r="E43" t="s">
        <v>129</v>
      </c>
    </row>
    <row r="44" spans="1:5" x14ac:dyDescent="0.15">
      <c r="A44" s="34" t="s">
        <v>130</v>
      </c>
      <c r="E44" t="s">
        <v>130</v>
      </c>
    </row>
    <row r="45" spans="1:5" x14ac:dyDescent="0.15">
      <c r="A45" s="34" t="s">
        <v>48</v>
      </c>
      <c r="E45" t="s">
        <v>48</v>
      </c>
    </row>
    <row r="46" spans="1:5" x14ac:dyDescent="0.15">
      <c r="A46" s="34" t="s">
        <v>17</v>
      </c>
      <c r="E46" t="s">
        <v>17</v>
      </c>
    </row>
    <row r="47" spans="1:5" x14ac:dyDescent="0.15">
      <c r="A47" s="35" t="s">
        <v>133</v>
      </c>
      <c r="E47" t="s">
        <v>133</v>
      </c>
    </row>
  </sheetData>
  <phoneticPr fontId="8" type="noConversion"/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35C7-0AE5-A848-8F48-EDE972B1F19F}">
  <dimension ref="A1:J93"/>
  <sheetViews>
    <sheetView workbookViewId="0">
      <selection activeCell="J39" sqref="J39"/>
    </sheetView>
  </sheetViews>
  <sheetFormatPr baseColWidth="10" defaultRowHeight="13" x14ac:dyDescent="0.15"/>
  <cols>
    <col min="1" max="1" width="25.1640625" bestFit="1" customWidth="1"/>
    <col min="2" max="2" width="17.83203125" bestFit="1" customWidth="1"/>
    <col min="3" max="3" width="19" bestFit="1" customWidth="1"/>
    <col min="4" max="4" width="16.83203125" bestFit="1" customWidth="1"/>
    <col min="5" max="5" width="15.6640625" bestFit="1" customWidth="1"/>
    <col min="6" max="6" width="16.83203125" bestFit="1" customWidth="1"/>
    <col min="7" max="7" width="14.33203125" bestFit="1" customWidth="1"/>
    <col min="8" max="8" width="13.1640625" bestFit="1" customWidth="1"/>
    <col min="9" max="9" width="23.1640625" bestFit="1" customWidth="1"/>
    <col min="10" max="10" width="23" bestFit="1" customWidth="1"/>
  </cols>
  <sheetData>
    <row r="1" spans="1:10" ht="14" thickBot="1" x14ac:dyDescent="0.2">
      <c r="A1" s="27" t="s">
        <v>126</v>
      </c>
      <c r="B1" s="28" t="s">
        <v>244</v>
      </c>
      <c r="C1" s="28" t="s">
        <v>235</v>
      </c>
      <c r="D1" s="28" t="s">
        <v>249</v>
      </c>
      <c r="E1" s="28" t="s">
        <v>256</v>
      </c>
      <c r="F1" s="27" t="s">
        <v>253</v>
      </c>
      <c r="G1" s="29" t="s">
        <v>254</v>
      </c>
      <c r="H1" s="29" t="s">
        <v>255</v>
      </c>
      <c r="I1" s="29" t="s">
        <v>259</v>
      </c>
      <c r="J1" s="29" t="s">
        <v>261</v>
      </c>
    </row>
    <row r="2" spans="1:10" ht="14" x14ac:dyDescent="0.15">
      <c r="A2" s="26" t="s">
        <v>127</v>
      </c>
      <c r="B2" s="30">
        <f>SUM(T_encoded[CheckIn_Comfortable and Clean Rooms])</f>
        <v>26</v>
      </c>
      <c r="C2" s="30">
        <f>SUM(T_encoded[CheckOut_Comfortable and Clean Rooms])</f>
        <v>10</v>
      </c>
      <c r="D2" s="30">
        <f>COUNTIFS(T_encoded[CheckIn_Comfortable and Clean Rooms], 1, T_encoded[CheckOut_Comfortable and Clean Rooms], 0)</f>
        <v>16</v>
      </c>
      <c r="E2" s="30">
        <f>COUNTIFS(T_encoded[CheckIn_Comfortable and Clean Rooms], 0, T_encoded[CheckOut_Comfortable and Clean Rooms], 1)</f>
        <v>0</v>
      </c>
      <c r="F2" s="23">
        <f>COUNTIFS(T_encoded[CheckIn_Comfortable and Clean Rooms], 1, T_encoded[CheckOut_Comfortable and Clean Rooms], 1)</f>
        <v>10</v>
      </c>
      <c r="G2" s="11">
        <f>T_Analysis[[#This Row],[CheckOut Impressed]]/T_Analysis[[#This Row],[CheckIn Persuaded]]</f>
        <v>0.38461538461538464</v>
      </c>
      <c r="H2" s="32">
        <f>T_Analysis[[#This Row],[CheckOut Impressed]]-T_Analysis[[#This Row],[CheckIn Persuaded]]</f>
        <v>-16</v>
      </c>
      <c r="I2" s="11">
        <f>(T_Analysis[[#This Row],[CheckOut Impressed]]-T_Analysis[[#This Row],[CheckIn Persuaded]])/ T_Analysis[[#This Row],[CheckIn Persuaded]]</f>
        <v>-0.61538461538461542</v>
      </c>
      <c r="J2" t="str">
        <f t="shared" ref="J2:J12" si="0">IF(AND(B2&gt;=25, G2&gt;=0.7), "High Impact Aligned",
 IF(AND(B2&gt;=25, G2&lt;0.7, H2&lt;=-10), "Underperforming Priority",
 IF(AND(B2&lt;15, G2&lt;0.7), "Low Engagement",
 IF(AND(B2&lt;15, G2&gt;=0.7), "Overlooked Opportunity",
 IF(G2&gt;=0.7, "Potential Strength",
 "Needs Improvement")))))</f>
        <v>Underperforming Priority</v>
      </c>
    </row>
    <row r="3" spans="1:10" ht="14" x14ac:dyDescent="0.15">
      <c r="A3" s="9" t="s">
        <v>106</v>
      </c>
      <c r="B3" s="31">
        <f>SUM(T_encoded[CheckIn_Delicious Breakfast])</f>
        <v>26</v>
      </c>
      <c r="C3" s="31">
        <f>SUM(T_encoded[CheckOut_Delicious Breakfast])</f>
        <v>16</v>
      </c>
      <c r="D3" s="31">
        <f>COUNTIFS(T_encoded[CheckIn_Delicious Breakfast], 1, T_encoded[CheckOut_Delicious Breakfast], 0)</f>
        <v>11</v>
      </c>
      <c r="E3" s="31">
        <f>COUNTIFS(T_encoded[CheckIn_Delicious Breakfast], 0, T_encoded[CheckOut_Delicious Breakfast], 1)</f>
        <v>1</v>
      </c>
      <c r="F3" s="24">
        <f>COUNTIFS(T_encoded[CheckIn_Delicious Breakfast], 1, T_encoded[CheckOut_Delicious Breakfast], 1)</f>
        <v>15</v>
      </c>
      <c r="G3" s="11">
        <f>T_Analysis[[#This Row],[CheckOut Impressed]]/T_Analysis[[#This Row],[CheckIn Persuaded]]</f>
        <v>0.61538461538461542</v>
      </c>
      <c r="H3" s="32">
        <f>T_Analysis[[#This Row],[CheckOut Impressed]]-T_Analysis[[#This Row],[CheckIn Persuaded]]</f>
        <v>-10</v>
      </c>
      <c r="I3" s="11">
        <f>(T_Analysis[[#This Row],[CheckOut Impressed]]-T_Analysis[[#This Row],[CheckIn Persuaded]])/ T_Analysis[[#This Row],[CheckIn Persuaded]]</f>
        <v>-0.38461538461538464</v>
      </c>
      <c r="J3" t="str">
        <f t="shared" si="0"/>
        <v>Underperforming Priority</v>
      </c>
    </row>
    <row r="4" spans="1:10" ht="14" x14ac:dyDescent="0.15">
      <c r="A4" s="26" t="s">
        <v>128</v>
      </c>
      <c r="B4" s="30">
        <f>SUM(T_encoded[CheckIn_Fast and Reliable Wi-Fi])</f>
        <v>26</v>
      </c>
      <c r="C4" s="30">
        <f>SUM(T_encoded[CheckOut_Fast and Reliable Wi-Fi])</f>
        <v>21</v>
      </c>
      <c r="D4" s="30">
        <f>COUNTIFS(T_encoded[CheckIn_Fast and Reliable Wi-Fi], 1, T_encoded[CheckOut_Fast and Reliable Wi-Fi], 0)</f>
        <v>5</v>
      </c>
      <c r="E4" s="30">
        <f>COUNTIFS(T_encoded[CheckIn_Fast and Reliable Wi-Fi], 0, T_encoded[CheckOut_Fast and Reliable Wi-Fi], 1)</f>
        <v>0</v>
      </c>
      <c r="F4" s="23">
        <f>COUNTIFS(T_encoded[CheckIn_Fast and Reliable Wi-Fi], 1, T_encoded[CheckOut_Fast and Reliable Wi-Fi], 1)</f>
        <v>21</v>
      </c>
      <c r="G4" s="11">
        <f>T_Analysis[[#This Row],[CheckOut Impressed]]/T_Analysis[[#This Row],[CheckIn Persuaded]]</f>
        <v>0.80769230769230771</v>
      </c>
      <c r="H4" s="32">
        <f>T_Analysis[[#This Row],[CheckOut Impressed]]-T_Analysis[[#This Row],[CheckIn Persuaded]]</f>
        <v>-5</v>
      </c>
      <c r="I4" s="11">
        <f>(T_Analysis[[#This Row],[CheckOut Impressed]]-T_Analysis[[#This Row],[CheckIn Persuaded]])/ T_Analysis[[#This Row],[CheckIn Persuaded]]</f>
        <v>-0.19230769230769232</v>
      </c>
      <c r="J4" t="str">
        <f t="shared" si="0"/>
        <v>High Impact Aligned</v>
      </c>
    </row>
    <row r="5" spans="1:10" ht="14" x14ac:dyDescent="0.15">
      <c r="A5" s="9" t="s">
        <v>129</v>
      </c>
      <c r="B5" s="31">
        <f>SUM(T_encoded[CheckIn_Friendly and Helpful Staff])</f>
        <v>18</v>
      </c>
      <c r="C5" s="31">
        <f>SUM(T_encoded[CheckOut_Friendly and Helpful Staff])</f>
        <v>8</v>
      </c>
      <c r="D5" s="31">
        <f>COUNTIFS(T_encoded[CheckIn_Friendly and Helpful Staff], 1, T_encoded[CheckOut_Friendly and Helpful Staff], 0)</f>
        <v>10</v>
      </c>
      <c r="E5" s="31">
        <f>COUNTIFS(T_encoded[CheckIn_Friendly and Helpful Staff], 0, T_encoded[CheckOut_Friendly and Helpful Staff], 1)</f>
        <v>0</v>
      </c>
      <c r="F5" s="24">
        <f>COUNTIFS(T_encoded[CheckIn_Friendly and Helpful Staff], 1, T_encoded[CheckOut_Friendly and Helpful Staff], 1)</f>
        <v>8</v>
      </c>
      <c r="G5" s="11">
        <f>T_Analysis[[#This Row],[CheckOut Impressed]]/T_Analysis[[#This Row],[CheckIn Persuaded]]</f>
        <v>0.44444444444444442</v>
      </c>
      <c r="H5" s="32">
        <f>T_Analysis[[#This Row],[CheckOut Impressed]]-T_Analysis[[#This Row],[CheckIn Persuaded]]</f>
        <v>-10</v>
      </c>
      <c r="I5" s="11">
        <f>(T_Analysis[[#This Row],[CheckOut Impressed]]-T_Analysis[[#This Row],[CheckIn Persuaded]])/ T_Analysis[[#This Row],[CheckIn Persuaded]]</f>
        <v>-0.55555555555555558</v>
      </c>
      <c r="J5" t="str">
        <f t="shared" si="0"/>
        <v>Needs Improvement</v>
      </c>
    </row>
    <row r="6" spans="1:10" ht="14" x14ac:dyDescent="0.15">
      <c r="A6" s="26" t="s">
        <v>48</v>
      </c>
      <c r="B6" s="30">
        <f>SUM(T_encoded[CheckIn_Quiet and Restful Environment])</f>
        <v>36</v>
      </c>
      <c r="C6" s="30">
        <f>SUM(T_encoded[CheckOut_Quiet and Restful Environment])</f>
        <v>32</v>
      </c>
      <c r="D6" s="30">
        <f>COUNTIFS(T_encoded[CheckIn_Quiet and Restful Environment], 1, T_encoded[CheckOut_Quiet and Restful Environment], 0)</f>
        <v>4</v>
      </c>
      <c r="E6" s="30">
        <f>COUNTIFS(T_encoded[CheckIn_Quiet and Restful Environment], 0, T_encoded[CheckOut_Quiet and Restful Environment],1 )</f>
        <v>0</v>
      </c>
      <c r="F6" s="23">
        <f>COUNTIFS(T_encoded[CheckIn_Quiet and Restful Environment], 1, T_encoded[CheckOut_Quiet and Restful Environment],1 )</f>
        <v>32</v>
      </c>
      <c r="G6" s="11">
        <f>T_Analysis[[#This Row],[CheckOut Impressed]]/T_Analysis[[#This Row],[CheckIn Persuaded]]</f>
        <v>0.88888888888888884</v>
      </c>
      <c r="H6" s="32">
        <f>T_Analysis[[#This Row],[CheckOut Impressed]]-T_Analysis[[#This Row],[CheckIn Persuaded]]</f>
        <v>-4</v>
      </c>
      <c r="I6" s="11">
        <f>(T_Analysis[[#This Row],[CheckOut Impressed]]-T_Analysis[[#This Row],[CheckIn Persuaded]])/ T_Analysis[[#This Row],[CheckIn Persuaded]]</f>
        <v>-0.1111111111111111</v>
      </c>
      <c r="J6" t="str">
        <f t="shared" si="0"/>
        <v>High Impact Aligned</v>
      </c>
    </row>
    <row r="7" spans="1:10" ht="14" x14ac:dyDescent="0.15">
      <c r="A7" s="9" t="s">
        <v>130</v>
      </c>
      <c r="B7" s="31">
        <f>SUM(T_encoded[CheckIn_Modern Fitness Facilities])</f>
        <v>22</v>
      </c>
      <c r="C7" s="31">
        <f>SUM(T_encoded[CheckOut_Modern Fitness Facilities])</f>
        <v>9</v>
      </c>
      <c r="D7" s="31">
        <f>COUNTIFS(T_encoded[CheckIn_Modern Fitness Facilities], 1, T_encoded[CheckOut_Modern Fitness Facilities], 0)</f>
        <v>13</v>
      </c>
      <c r="E7" s="31">
        <f>COUNTIFS(T_encoded[CheckIn_Modern Fitness Facilities], 0, T_encoded[CheckOut_Modern Fitness Facilities], 1)</f>
        <v>0</v>
      </c>
      <c r="F7" s="24">
        <f>COUNTIFS(T_encoded[CheckIn_Modern Fitness Facilities], 1, T_encoded[CheckOut_Modern Fitness Facilities], 1)</f>
        <v>9</v>
      </c>
      <c r="G7" s="11">
        <f>T_Analysis[[#This Row],[CheckOut Impressed]]/T_Analysis[[#This Row],[CheckIn Persuaded]]</f>
        <v>0.40909090909090912</v>
      </c>
      <c r="H7" s="32">
        <f>T_Analysis[[#This Row],[CheckOut Impressed]]-T_Analysis[[#This Row],[CheckIn Persuaded]]</f>
        <v>-13</v>
      </c>
      <c r="I7" s="11">
        <f>(T_Analysis[[#This Row],[CheckOut Impressed]]-T_Analysis[[#This Row],[CheckIn Persuaded]])/ T_Analysis[[#This Row],[CheckIn Persuaded]]</f>
        <v>-0.59090909090909094</v>
      </c>
      <c r="J7" t="str">
        <f t="shared" si="0"/>
        <v>Needs Improvement</v>
      </c>
    </row>
    <row r="8" spans="1:10" ht="14" x14ac:dyDescent="0.15">
      <c r="A8" s="26" t="s">
        <v>131</v>
      </c>
      <c r="B8" s="30">
        <f>SUM(T_encoded[CheckIn_Family-Friendly Services])</f>
        <v>14</v>
      </c>
      <c r="C8" s="30">
        <f>SUM(T_encoded[CheckOut_Family-Friendly Services])</f>
        <v>3</v>
      </c>
      <c r="D8" s="30">
        <f>COUNTIFS(T_encoded[CheckIn_Family-Friendly Services], 1, T_encoded[CheckOut_Family-Friendly Services], 0)</f>
        <v>11</v>
      </c>
      <c r="E8" s="30">
        <f>COUNTIFS(T_encoded[CheckIn_Family-Friendly Services], 0, T_encoded[CheckOut_Family-Friendly Services], 1)</f>
        <v>0</v>
      </c>
      <c r="F8" s="23">
        <f>COUNTIFS(T_encoded[CheckIn_Family-Friendly Services], 1, T_encoded[CheckOut_Family-Friendly Services], 1)</f>
        <v>3</v>
      </c>
      <c r="G8" s="11">
        <f>T_Analysis[[#This Row],[CheckOut Impressed]]/T_Analysis[[#This Row],[CheckIn Persuaded]]</f>
        <v>0.21428571428571427</v>
      </c>
      <c r="H8" s="32">
        <f>T_Analysis[[#This Row],[CheckOut Impressed]]-T_Analysis[[#This Row],[CheckIn Persuaded]]</f>
        <v>-11</v>
      </c>
      <c r="I8" s="11">
        <f>(T_Analysis[[#This Row],[CheckOut Impressed]]-T_Analysis[[#This Row],[CheckIn Persuaded]])/ T_Analysis[[#This Row],[CheckIn Persuaded]]</f>
        <v>-0.7857142857142857</v>
      </c>
      <c r="J8" t="str">
        <f t="shared" si="0"/>
        <v>Low Engagement</v>
      </c>
    </row>
    <row r="9" spans="1:10" ht="14" x14ac:dyDescent="0.15">
      <c r="A9" s="9" t="s">
        <v>122</v>
      </c>
      <c r="B9" s="31">
        <f>SUM(T_encoded[CheckIn_Business Amenities])</f>
        <v>17</v>
      </c>
      <c r="C9" s="31">
        <f>SUM(T_encoded[CheckOut_Business Amenities])</f>
        <v>10</v>
      </c>
      <c r="D9" s="31">
        <f>COUNTIFS(T_encoded[CheckIn_Business Amenities], 1, T_encoded[CheckOut_Business Amenities], 0)</f>
        <v>7</v>
      </c>
      <c r="E9" s="31">
        <f>COUNTIFS(T_encoded[CheckIn_Business Amenities], 0, T_encoded[CheckOut_Business Amenities], 1)</f>
        <v>0</v>
      </c>
      <c r="F9" s="24">
        <f>COUNTIFS(T_encoded[CheckIn_Business Amenities], 1, T_encoded[CheckOut_Business Amenities], 1)</f>
        <v>10</v>
      </c>
      <c r="G9" s="11">
        <f>T_Analysis[[#This Row],[CheckOut Impressed]]/T_Analysis[[#This Row],[CheckIn Persuaded]]</f>
        <v>0.58823529411764708</v>
      </c>
      <c r="H9" s="32">
        <f>T_Analysis[[#This Row],[CheckOut Impressed]]-T_Analysis[[#This Row],[CheckIn Persuaded]]</f>
        <v>-7</v>
      </c>
      <c r="I9" s="11">
        <f>(T_Analysis[[#This Row],[CheckOut Impressed]]-T_Analysis[[#This Row],[CheckIn Persuaded]])/ T_Analysis[[#This Row],[CheckIn Persuaded]]</f>
        <v>-0.41176470588235292</v>
      </c>
      <c r="J9" t="str">
        <f t="shared" si="0"/>
        <v>Needs Improvement</v>
      </c>
    </row>
    <row r="10" spans="1:10" ht="14" x14ac:dyDescent="0.15">
      <c r="A10" s="26" t="s">
        <v>132</v>
      </c>
      <c r="B10" s="30">
        <f>SUM(T_encoded[CheckIn_Easy Parking &amp; Check-in])</f>
        <v>11</v>
      </c>
      <c r="C10" s="30">
        <f>SUM(T_encoded[CheckOut_Easy Parking &amp; Check-in])</f>
        <v>2</v>
      </c>
      <c r="D10" s="30">
        <f>COUNTIFS(T_encoded[CheckIn_Easy Parking &amp; Check-in], 1, T_encoded[CheckOut_Easy Parking &amp; Check-in], 0)</f>
        <v>9</v>
      </c>
      <c r="E10" s="30">
        <f>COUNTIFS(T_encoded[CheckIn_Easy Parking &amp; Check-in], 0, T_encoded[CheckOut_Easy Parking &amp; Check-in], 1)</f>
        <v>0</v>
      </c>
      <c r="F10" s="23">
        <f>COUNTIFS(T_encoded[CheckIn_Easy Parking &amp; Check-in], 1, T_encoded[CheckOut_Easy Parking &amp; Check-in], 1)</f>
        <v>2</v>
      </c>
      <c r="G10" s="11">
        <f>T_Analysis[[#This Row],[CheckOut Impressed]]/T_Analysis[[#This Row],[CheckIn Persuaded]]</f>
        <v>0.18181818181818182</v>
      </c>
      <c r="H10" s="32">
        <f>T_Analysis[[#This Row],[CheckOut Impressed]]-T_Analysis[[#This Row],[CheckIn Persuaded]]</f>
        <v>-9</v>
      </c>
      <c r="I10" s="11">
        <f>(T_Analysis[[#This Row],[CheckOut Impressed]]-T_Analysis[[#This Row],[CheckIn Persuaded]])/ T_Analysis[[#This Row],[CheckIn Persuaded]]</f>
        <v>-0.81818181818181823</v>
      </c>
      <c r="J10" t="str">
        <f t="shared" si="0"/>
        <v>Low Engagement</v>
      </c>
    </row>
    <row r="11" spans="1:10" ht="14" x14ac:dyDescent="0.15">
      <c r="A11" s="9" t="s">
        <v>133</v>
      </c>
      <c r="B11" s="31">
        <f>SUM(T_encoded[CheckIn_Stylish Interior Design])</f>
        <v>11</v>
      </c>
      <c r="C11" s="31">
        <f>SUM(T_encoded[CheckOut_Stylish Interior Design])</f>
        <v>1</v>
      </c>
      <c r="D11" s="31">
        <f>COUNTIFS(T_encoded[CheckIn_Stylish Interior Design], 1, T_encoded[CheckOut_Stylish Interior Design], 0)</f>
        <v>10</v>
      </c>
      <c r="E11" s="31">
        <f>COUNTIFS(T_encoded[CheckIn_Stylish Interior Design], 0, T_encoded[CheckOut_Stylish Interior Design], 1)</f>
        <v>0</v>
      </c>
      <c r="F11" s="24">
        <f>COUNTIFS(T_encoded[CheckIn_Stylish Interior Design], 1, T_encoded[CheckOut_Stylish Interior Design], 1)</f>
        <v>1</v>
      </c>
      <c r="G11" s="11">
        <f>T_Analysis[[#This Row],[CheckOut Impressed]]/T_Analysis[[#This Row],[CheckIn Persuaded]]</f>
        <v>9.0909090909090912E-2</v>
      </c>
      <c r="H11" s="32">
        <f>T_Analysis[[#This Row],[CheckOut Impressed]]-T_Analysis[[#This Row],[CheckIn Persuaded]]</f>
        <v>-10</v>
      </c>
      <c r="I11" s="11">
        <f>(T_Analysis[[#This Row],[CheckOut Impressed]]-T_Analysis[[#This Row],[CheckIn Persuaded]])/ T_Analysis[[#This Row],[CheckIn Persuaded]]</f>
        <v>-0.90909090909090906</v>
      </c>
      <c r="J11" t="str">
        <f t="shared" si="0"/>
        <v>Low Engagement</v>
      </c>
    </row>
    <row r="12" spans="1:10" ht="14" x14ac:dyDescent="0.15">
      <c r="A12" s="26" t="s">
        <v>17</v>
      </c>
      <c r="B12" s="30">
        <f>SUM(T_encoded[CheckIn_Reservation &amp; Communication])</f>
        <v>12</v>
      </c>
      <c r="C12" s="30">
        <f>SUM(T_encoded[CheckOut_Reservation &amp; Communication])</f>
        <v>7</v>
      </c>
      <c r="D12" s="30">
        <f>COUNTIFS(T_encoded[CheckIn_Reservation &amp; Communication], 1, T_encoded[CheckOut_Reservation &amp; Communication], 0)</f>
        <v>5</v>
      </c>
      <c r="E12" s="30">
        <f>COUNTIFS(T_encoded[CheckIn_Reservation &amp; Communication], 0, T_encoded[CheckOut_Reservation &amp; Communication], 1)</f>
        <v>0</v>
      </c>
      <c r="F12" s="23">
        <f>COUNTIFS(T_encoded[CheckIn_Reservation &amp; Communication], 1, T_encoded[CheckOut_Reservation &amp; Communication], 1)</f>
        <v>7</v>
      </c>
      <c r="G12" s="11">
        <f>T_Analysis[[#This Row],[CheckOut Impressed]]/T_Analysis[[#This Row],[CheckIn Persuaded]]</f>
        <v>0.58333333333333337</v>
      </c>
      <c r="H12" s="32">
        <f>T_Analysis[[#This Row],[CheckOut Impressed]]-T_Analysis[[#This Row],[CheckIn Persuaded]]</f>
        <v>-5</v>
      </c>
      <c r="I12" s="11">
        <f>(T_Analysis[[#This Row],[CheckOut Impressed]]-T_Analysis[[#This Row],[CheckIn Persuaded]])/ T_Analysis[[#This Row],[CheckIn Persuaded]]</f>
        <v>-0.41666666666666669</v>
      </c>
      <c r="J12" t="str">
        <f t="shared" si="0"/>
        <v>Low Engagement</v>
      </c>
    </row>
    <row r="17" spans="1:3" x14ac:dyDescent="0.15">
      <c r="A17" s="6" t="s">
        <v>232</v>
      </c>
      <c r="B17" t="s">
        <v>257</v>
      </c>
      <c r="C17" t="s">
        <v>258</v>
      </c>
    </row>
    <row r="18" spans="1:3" x14ac:dyDescent="0.15">
      <c r="A18" s="7" t="s">
        <v>132</v>
      </c>
      <c r="B18" s="32">
        <v>11</v>
      </c>
      <c r="C18" s="32">
        <v>2</v>
      </c>
    </row>
    <row r="19" spans="1:3" x14ac:dyDescent="0.15">
      <c r="A19" s="7" t="s">
        <v>133</v>
      </c>
      <c r="B19" s="32">
        <v>11</v>
      </c>
      <c r="C19" s="32">
        <v>1</v>
      </c>
    </row>
    <row r="20" spans="1:3" x14ac:dyDescent="0.15">
      <c r="A20" s="7" t="s">
        <v>17</v>
      </c>
      <c r="B20" s="32">
        <v>12</v>
      </c>
      <c r="C20" s="32">
        <v>7</v>
      </c>
    </row>
    <row r="21" spans="1:3" x14ac:dyDescent="0.15">
      <c r="A21" s="7" t="s">
        <v>131</v>
      </c>
      <c r="B21" s="32">
        <v>14</v>
      </c>
      <c r="C21" s="32">
        <v>3</v>
      </c>
    </row>
    <row r="22" spans="1:3" x14ac:dyDescent="0.15">
      <c r="A22" s="7" t="s">
        <v>122</v>
      </c>
      <c r="B22" s="32">
        <v>17</v>
      </c>
      <c r="C22" s="32">
        <v>10</v>
      </c>
    </row>
    <row r="23" spans="1:3" x14ac:dyDescent="0.15">
      <c r="A23" s="7" t="s">
        <v>129</v>
      </c>
      <c r="B23" s="32">
        <v>18</v>
      </c>
      <c r="C23" s="32">
        <v>8</v>
      </c>
    </row>
    <row r="24" spans="1:3" x14ac:dyDescent="0.15">
      <c r="A24" s="7" t="s">
        <v>130</v>
      </c>
      <c r="B24" s="32">
        <v>22</v>
      </c>
      <c r="C24" s="32">
        <v>9</v>
      </c>
    </row>
    <row r="25" spans="1:3" x14ac:dyDescent="0.15">
      <c r="A25" s="7" t="s">
        <v>128</v>
      </c>
      <c r="B25" s="32">
        <v>26</v>
      </c>
      <c r="C25" s="32">
        <v>21</v>
      </c>
    </row>
    <row r="26" spans="1:3" x14ac:dyDescent="0.15">
      <c r="A26" s="7" t="s">
        <v>106</v>
      </c>
      <c r="B26" s="32">
        <v>26</v>
      </c>
      <c r="C26" s="32">
        <v>16</v>
      </c>
    </row>
    <row r="27" spans="1:3" x14ac:dyDescent="0.15">
      <c r="A27" s="7" t="s">
        <v>127</v>
      </c>
      <c r="B27" s="32">
        <v>26</v>
      </c>
      <c r="C27" s="32">
        <v>10</v>
      </c>
    </row>
    <row r="28" spans="1:3" x14ac:dyDescent="0.15">
      <c r="A28" s="7" t="s">
        <v>48</v>
      </c>
      <c r="B28" s="32">
        <v>36</v>
      </c>
      <c r="C28" s="32">
        <v>32</v>
      </c>
    </row>
    <row r="33" spans="1:2" x14ac:dyDescent="0.15">
      <c r="A33" s="6" t="s">
        <v>232</v>
      </c>
      <c r="B33" t="s">
        <v>243</v>
      </c>
    </row>
    <row r="34" spans="1:2" x14ac:dyDescent="0.15">
      <c r="A34" s="7" t="s">
        <v>133</v>
      </c>
      <c r="B34" s="13">
        <v>9.0909090909090912E-2</v>
      </c>
    </row>
    <row r="35" spans="1:2" x14ac:dyDescent="0.15">
      <c r="A35" s="7" t="s">
        <v>132</v>
      </c>
      <c r="B35" s="13">
        <v>0.18181818181818182</v>
      </c>
    </row>
    <row r="36" spans="1:2" x14ac:dyDescent="0.15">
      <c r="A36" s="7" t="s">
        <v>131</v>
      </c>
      <c r="B36" s="13">
        <v>0.21428571428571427</v>
      </c>
    </row>
    <row r="37" spans="1:2" x14ac:dyDescent="0.15">
      <c r="A37" s="7" t="s">
        <v>127</v>
      </c>
      <c r="B37" s="13">
        <v>0.38461538461538464</v>
      </c>
    </row>
    <row r="38" spans="1:2" x14ac:dyDescent="0.15">
      <c r="A38" s="7" t="s">
        <v>130</v>
      </c>
      <c r="B38" s="13">
        <v>0.40909090909090912</v>
      </c>
    </row>
    <row r="39" spans="1:2" x14ac:dyDescent="0.15">
      <c r="A39" s="7" t="s">
        <v>129</v>
      </c>
      <c r="B39" s="13">
        <v>0.44444444444444442</v>
      </c>
    </row>
    <row r="40" spans="1:2" x14ac:dyDescent="0.15">
      <c r="A40" s="7" t="s">
        <v>17</v>
      </c>
      <c r="B40" s="13">
        <v>0.58333333333333337</v>
      </c>
    </row>
    <row r="41" spans="1:2" x14ac:dyDescent="0.15">
      <c r="A41" s="7" t="s">
        <v>122</v>
      </c>
      <c r="B41" s="13">
        <v>0.58823529411764708</v>
      </c>
    </row>
    <row r="42" spans="1:2" x14ac:dyDescent="0.15">
      <c r="A42" s="7" t="s">
        <v>106</v>
      </c>
      <c r="B42" s="13">
        <v>0.61538461538461542</v>
      </c>
    </row>
    <row r="43" spans="1:2" x14ac:dyDescent="0.15">
      <c r="A43" s="7" t="s">
        <v>128</v>
      </c>
      <c r="B43" s="13">
        <v>0.80769230769230771</v>
      </c>
    </row>
    <row r="44" spans="1:2" x14ac:dyDescent="0.15">
      <c r="A44" s="7" t="s">
        <v>48</v>
      </c>
      <c r="B44" s="13">
        <v>0.88888888888888884</v>
      </c>
    </row>
    <row r="48" spans="1:2" x14ac:dyDescent="0.15">
      <c r="A48" s="6" t="s">
        <v>232</v>
      </c>
      <c r="B48" t="s">
        <v>242</v>
      </c>
    </row>
    <row r="49" spans="1:2" x14ac:dyDescent="0.15">
      <c r="A49" s="7" t="s">
        <v>127</v>
      </c>
      <c r="B49" s="32">
        <v>-16</v>
      </c>
    </row>
    <row r="50" spans="1:2" x14ac:dyDescent="0.15">
      <c r="A50" s="7" t="s">
        <v>130</v>
      </c>
      <c r="B50" s="32">
        <v>-13</v>
      </c>
    </row>
    <row r="51" spans="1:2" x14ac:dyDescent="0.15">
      <c r="A51" s="7" t="s">
        <v>131</v>
      </c>
      <c r="B51" s="32">
        <v>-11</v>
      </c>
    </row>
    <row r="52" spans="1:2" x14ac:dyDescent="0.15">
      <c r="A52" s="7" t="s">
        <v>106</v>
      </c>
      <c r="B52" s="32">
        <v>-10</v>
      </c>
    </row>
    <row r="53" spans="1:2" x14ac:dyDescent="0.15">
      <c r="A53" s="7" t="s">
        <v>133</v>
      </c>
      <c r="B53" s="32">
        <v>-10</v>
      </c>
    </row>
    <row r="54" spans="1:2" x14ac:dyDescent="0.15">
      <c r="A54" s="7" t="s">
        <v>129</v>
      </c>
      <c r="B54" s="32">
        <v>-10</v>
      </c>
    </row>
    <row r="55" spans="1:2" x14ac:dyDescent="0.15">
      <c r="A55" s="7" t="s">
        <v>132</v>
      </c>
      <c r="B55" s="32">
        <v>-9</v>
      </c>
    </row>
    <row r="56" spans="1:2" x14ac:dyDescent="0.15">
      <c r="A56" s="7" t="s">
        <v>122</v>
      </c>
      <c r="B56" s="32">
        <v>-7</v>
      </c>
    </row>
    <row r="57" spans="1:2" x14ac:dyDescent="0.15">
      <c r="A57" s="7" t="s">
        <v>128</v>
      </c>
      <c r="B57" s="32">
        <v>-5</v>
      </c>
    </row>
    <row r="58" spans="1:2" x14ac:dyDescent="0.15">
      <c r="A58" s="7" t="s">
        <v>17</v>
      </c>
      <c r="B58" s="32">
        <v>-5</v>
      </c>
    </row>
    <row r="59" spans="1:2" x14ac:dyDescent="0.15">
      <c r="A59" s="7" t="s">
        <v>48</v>
      </c>
      <c r="B59" s="32">
        <v>-4</v>
      </c>
    </row>
    <row r="82" spans="1:1" x14ac:dyDescent="0.15">
      <c r="A82" s="33"/>
    </row>
    <row r="83" spans="1:1" ht="14" x14ac:dyDescent="0.15">
      <c r="A83" s="9"/>
    </row>
    <row r="84" spans="1:1" ht="14" x14ac:dyDescent="0.15">
      <c r="A84" s="9"/>
    </row>
    <row r="85" spans="1:1" ht="14" x14ac:dyDescent="0.15">
      <c r="A85" s="9"/>
    </row>
    <row r="86" spans="1:1" ht="14" x14ac:dyDescent="0.15">
      <c r="A86" s="9"/>
    </row>
    <row r="87" spans="1:1" ht="14" x14ac:dyDescent="0.15">
      <c r="A87" s="9"/>
    </row>
    <row r="88" spans="1:1" ht="14" x14ac:dyDescent="0.15">
      <c r="A88" s="9"/>
    </row>
    <row r="89" spans="1:1" ht="14" x14ac:dyDescent="0.15">
      <c r="A89" s="9"/>
    </row>
    <row r="90" spans="1:1" ht="14" x14ac:dyDescent="0.15">
      <c r="A90" s="9"/>
    </row>
    <row r="91" spans="1:1" ht="14" x14ac:dyDescent="0.15">
      <c r="A91" s="9"/>
    </row>
    <row r="92" spans="1:1" ht="14" x14ac:dyDescent="0.15">
      <c r="A92" s="9"/>
    </row>
    <row r="93" spans="1:1" ht="14" x14ac:dyDescent="0.15">
      <c r="A93" s="9"/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3759-1119-2E40-B159-4AAB6B6A6EAA}">
  <dimension ref="B3:W49"/>
  <sheetViews>
    <sheetView showGridLines="0" tabSelected="1" zoomScale="75" zoomScaleNormal="80" workbookViewId="0">
      <selection activeCell="C9" sqref="C9"/>
    </sheetView>
  </sheetViews>
  <sheetFormatPr baseColWidth="10" defaultRowHeight="13" x14ac:dyDescent="0.15"/>
  <cols>
    <col min="19" max="19" width="12.5" customWidth="1"/>
    <col min="20" max="20" width="44" bestFit="1" customWidth="1"/>
    <col min="21" max="21" width="37.33203125" bestFit="1" customWidth="1"/>
    <col min="22" max="22" width="30.1640625" customWidth="1"/>
    <col min="23" max="23" width="40" customWidth="1"/>
    <col min="24" max="24" width="42.6640625" customWidth="1"/>
  </cols>
  <sheetData>
    <row r="3" spans="2:23" ht="13" customHeight="1" x14ac:dyDescent="0.15">
      <c r="B3" s="14"/>
      <c r="C3" s="14"/>
      <c r="D3" s="14"/>
      <c r="F3" s="17"/>
      <c r="G3" s="17"/>
      <c r="H3" s="17"/>
    </row>
    <row r="4" spans="2:23" ht="13" customHeight="1" x14ac:dyDescent="0.15">
      <c r="B4" s="14"/>
      <c r="C4" s="14"/>
      <c r="D4" s="14"/>
      <c r="F4" s="17"/>
      <c r="G4" s="17"/>
      <c r="H4" s="17"/>
      <c r="K4" s="22"/>
      <c r="L4" s="21"/>
      <c r="M4" s="21"/>
      <c r="O4" s="22"/>
      <c r="P4" s="22"/>
      <c r="Q4" s="22"/>
    </row>
    <row r="5" spans="2:23" ht="13" customHeight="1" x14ac:dyDescent="0.15">
      <c r="B5" s="15"/>
      <c r="C5" s="15"/>
      <c r="D5" s="15"/>
      <c r="F5" s="16"/>
      <c r="G5" s="17"/>
      <c r="H5" s="17"/>
      <c r="K5" s="21"/>
      <c r="L5" s="21"/>
      <c r="M5" s="21"/>
      <c r="O5" s="22"/>
      <c r="P5" s="22"/>
      <c r="Q5" s="22"/>
    </row>
    <row r="6" spans="2:23" ht="13" customHeight="1" x14ac:dyDescent="0.15">
      <c r="B6" s="15"/>
      <c r="C6" s="15"/>
      <c r="D6" s="15"/>
      <c r="F6" s="17"/>
      <c r="G6" s="17"/>
      <c r="H6" s="17"/>
      <c r="K6" s="20"/>
      <c r="L6" s="20"/>
      <c r="M6" s="20"/>
      <c r="O6" s="20"/>
      <c r="P6" s="20"/>
      <c r="Q6" s="20"/>
    </row>
    <row r="7" spans="2:23" ht="13" customHeight="1" x14ac:dyDescent="0.15">
      <c r="B7" s="15"/>
      <c r="C7" s="15"/>
      <c r="D7" s="15"/>
      <c r="F7" s="17"/>
      <c r="G7" s="17"/>
      <c r="H7" s="17"/>
      <c r="K7" s="20"/>
      <c r="L7" s="51" t="s">
        <v>241</v>
      </c>
      <c r="M7" s="51"/>
      <c r="N7" s="51"/>
      <c r="O7" s="20"/>
      <c r="P7" s="51" t="s">
        <v>251</v>
      </c>
      <c r="Q7" s="51"/>
      <c r="R7" s="51"/>
    </row>
    <row r="8" spans="2:23" ht="13" customHeight="1" x14ac:dyDescent="0.15">
      <c r="K8" s="20"/>
      <c r="L8" s="51"/>
      <c r="M8" s="51"/>
      <c r="N8" s="51"/>
      <c r="O8" s="20"/>
      <c r="P8" s="51"/>
      <c r="Q8" s="51"/>
      <c r="R8" s="51"/>
    </row>
    <row r="9" spans="2:23" x14ac:dyDescent="0.15">
      <c r="L9" s="52">
        <f>COUNT(Cleaned_Data!D2:D48)</f>
        <v>47</v>
      </c>
      <c r="M9" s="52"/>
      <c r="N9" s="52"/>
      <c r="P9" s="52">
        <f>COUNT(Summary!B2:B12)</f>
        <v>11</v>
      </c>
      <c r="Q9" s="52"/>
      <c r="R9" s="52"/>
    </row>
    <row r="10" spans="2:23" x14ac:dyDescent="0.15">
      <c r="L10" s="52"/>
      <c r="M10" s="52"/>
      <c r="N10" s="52"/>
      <c r="P10" s="52"/>
      <c r="Q10" s="52"/>
      <c r="R10" s="52"/>
    </row>
    <row r="11" spans="2:23" x14ac:dyDescent="0.15">
      <c r="L11" s="52"/>
      <c r="M11" s="52"/>
      <c r="N11" s="52"/>
      <c r="P11" s="52"/>
      <c r="Q11" s="52"/>
      <c r="R11" s="52"/>
    </row>
    <row r="13" spans="2:23" ht="13" customHeight="1" x14ac:dyDescent="0.15">
      <c r="T13" s="50" t="s">
        <v>262</v>
      </c>
      <c r="U13" s="50"/>
    </row>
    <row r="14" spans="2:23" ht="13" customHeight="1" x14ac:dyDescent="0.15">
      <c r="T14" s="50"/>
      <c r="U14" s="50"/>
    </row>
    <row r="15" spans="2:23" ht="13" customHeight="1" x14ac:dyDescent="0.15">
      <c r="T15" s="50"/>
      <c r="U15" s="50"/>
    </row>
    <row r="16" spans="2:23" ht="21" x14ac:dyDescent="0.25">
      <c r="T16" s="38" t="s">
        <v>232</v>
      </c>
      <c r="U16" s="39" t="s">
        <v>257</v>
      </c>
      <c r="V16" s="39" t="s">
        <v>267</v>
      </c>
      <c r="W16" s="39" t="s">
        <v>268</v>
      </c>
    </row>
    <row r="17" spans="20:23" ht="21" x14ac:dyDescent="0.25">
      <c r="T17" s="40" t="s">
        <v>264</v>
      </c>
      <c r="U17" s="41"/>
      <c r="V17" s="42"/>
      <c r="W17" s="41"/>
    </row>
    <row r="18" spans="20:23" ht="21" x14ac:dyDescent="0.25">
      <c r="T18" s="43" t="s">
        <v>128</v>
      </c>
      <c r="U18" s="41">
        <v>26</v>
      </c>
      <c r="V18" s="42">
        <v>0.80769230769230771</v>
      </c>
      <c r="W18" s="41">
        <v>-5</v>
      </c>
    </row>
    <row r="19" spans="20:23" ht="21" x14ac:dyDescent="0.25">
      <c r="T19" s="43" t="s">
        <v>48</v>
      </c>
      <c r="U19" s="41">
        <v>36</v>
      </c>
      <c r="V19" s="42">
        <v>0.88888888888888884</v>
      </c>
      <c r="W19" s="41">
        <v>-4</v>
      </c>
    </row>
    <row r="20" spans="20:23" ht="21" x14ac:dyDescent="0.25">
      <c r="T20" s="40" t="s">
        <v>265</v>
      </c>
      <c r="U20" s="41"/>
      <c r="V20" s="42"/>
      <c r="W20" s="41"/>
    </row>
    <row r="21" spans="20:23" ht="21" x14ac:dyDescent="0.25">
      <c r="T21" s="43" t="s">
        <v>132</v>
      </c>
      <c r="U21" s="41">
        <v>11</v>
      </c>
      <c r="V21" s="42">
        <v>0.18181818181818182</v>
      </c>
      <c r="W21" s="41">
        <v>-9</v>
      </c>
    </row>
    <row r="22" spans="20:23" ht="21" x14ac:dyDescent="0.25">
      <c r="T22" s="43" t="s">
        <v>131</v>
      </c>
      <c r="U22" s="41">
        <v>14</v>
      </c>
      <c r="V22" s="42">
        <v>0.21428571428571427</v>
      </c>
      <c r="W22" s="41">
        <v>-11</v>
      </c>
    </row>
    <row r="23" spans="20:23" ht="21" x14ac:dyDescent="0.25">
      <c r="T23" s="43" t="s">
        <v>17</v>
      </c>
      <c r="U23" s="41">
        <v>12</v>
      </c>
      <c r="V23" s="42">
        <v>0.58333333333333337</v>
      </c>
      <c r="W23" s="41">
        <v>-5</v>
      </c>
    </row>
    <row r="24" spans="20:23" ht="21" x14ac:dyDescent="0.25">
      <c r="T24" s="43" t="s">
        <v>133</v>
      </c>
      <c r="U24" s="41">
        <v>11</v>
      </c>
      <c r="V24" s="42">
        <v>9.0909090909090912E-2</v>
      </c>
      <c r="W24" s="41">
        <v>-10</v>
      </c>
    </row>
    <row r="25" spans="20:23" ht="21" x14ac:dyDescent="0.25">
      <c r="T25" s="40" t="s">
        <v>260</v>
      </c>
      <c r="U25" s="41"/>
      <c r="V25" s="42"/>
      <c r="W25" s="41"/>
    </row>
    <row r="26" spans="20:23" ht="21" x14ac:dyDescent="0.25">
      <c r="T26" s="43" t="s">
        <v>122</v>
      </c>
      <c r="U26" s="41">
        <v>17</v>
      </c>
      <c r="V26" s="42">
        <v>0.58823529411764708</v>
      </c>
      <c r="W26" s="41">
        <v>-7</v>
      </c>
    </row>
    <row r="27" spans="20:23" ht="21" x14ac:dyDescent="0.25">
      <c r="T27" s="43" t="s">
        <v>129</v>
      </c>
      <c r="U27" s="41">
        <v>18</v>
      </c>
      <c r="V27" s="42">
        <v>0.44444444444444442</v>
      </c>
      <c r="W27" s="41">
        <v>-10</v>
      </c>
    </row>
    <row r="28" spans="20:23" ht="21" x14ac:dyDescent="0.25">
      <c r="T28" s="43" t="s">
        <v>130</v>
      </c>
      <c r="U28" s="41">
        <v>22</v>
      </c>
      <c r="V28" s="42">
        <v>0.40909090909090912</v>
      </c>
      <c r="W28" s="41">
        <v>-13</v>
      </c>
    </row>
    <row r="29" spans="20:23" ht="21" x14ac:dyDescent="0.25">
      <c r="T29" s="40" t="s">
        <v>266</v>
      </c>
      <c r="U29" s="41"/>
      <c r="V29" s="42"/>
      <c r="W29" s="41"/>
    </row>
    <row r="30" spans="20:23" ht="21" x14ac:dyDescent="0.25">
      <c r="T30" s="43" t="s">
        <v>127</v>
      </c>
      <c r="U30" s="41">
        <v>26</v>
      </c>
      <c r="V30" s="42">
        <v>0.38461538461538464</v>
      </c>
      <c r="W30" s="41">
        <v>-16</v>
      </c>
    </row>
    <row r="31" spans="20:23" ht="21" x14ac:dyDescent="0.25">
      <c r="T31" s="43" t="s">
        <v>106</v>
      </c>
      <c r="U31" s="41">
        <v>26</v>
      </c>
      <c r="V31" s="42">
        <v>0.61538461538461542</v>
      </c>
      <c r="W31" s="41">
        <v>-10</v>
      </c>
    </row>
    <row r="34" spans="20:21" x14ac:dyDescent="0.15">
      <c r="T34" s="50" t="s">
        <v>252</v>
      </c>
    </row>
    <row r="35" spans="20:21" x14ac:dyDescent="0.15">
      <c r="T35" s="50"/>
    </row>
    <row r="36" spans="20:21" x14ac:dyDescent="0.15">
      <c r="T36" s="50"/>
    </row>
    <row r="38" spans="20:21" ht="23" x14ac:dyDescent="0.25">
      <c r="T38" s="44" t="s">
        <v>250</v>
      </c>
      <c r="U38" s="45" t="s">
        <v>263</v>
      </c>
    </row>
    <row r="39" spans="20:21" ht="23" x14ac:dyDescent="0.25">
      <c r="T39" s="46" t="s">
        <v>133</v>
      </c>
      <c r="U39" s="47">
        <v>-0.90909090909090906</v>
      </c>
    </row>
    <row r="40" spans="20:21" ht="23" x14ac:dyDescent="0.25">
      <c r="T40" s="46" t="s">
        <v>132</v>
      </c>
      <c r="U40" s="47">
        <v>-0.81818181818181823</v>
      </c>
    </row>
    <row r="41" spans="20:21" ht="23" x14ac:dyDescent="0.25">
      <c r="T41" s="46" t="s">
        <v>131</v>
      </c>
      <c r="U41" s="47">
        <v>-0.7857142857142857</v>
      </c>
    </row>
    <row r="42" spans="20:21" ht="23" x14ac:dyDescent="0.25">
      <c r="T42" s="46" t="s">
        <v>127</v>
      </c>
      <c r="U42" s="48">
        <v>-0.61538461538461542</v>
      </c>
    </row>
    <row r="43" spans="20:21" ht="23" x14ac:dyDescent="0.25">
      <c r="T43" s="46" t="s">
        <v>130</v>
      </c>
      <c r="U43" s="48">
        <v>-0.59090909090909094</v>
      </c>
    </row>
    <row r="44" spans="20:21" ht="23" x14ac:dyDescent="0.25">
      <c r="T44" s="46" t="s">
        <v>129</v>
      </c>
      <c r="U44" s="48">
        <v>-0.55555555555555558</v>
      </c>
    </row>
    <row r="45" spans="20:21" ht="23" x14ac:dyDescent="0.25">
      <c r="T45" s="46" t="s">
        <v>17</v>
      </c>
      <c r="U45" s="48">
        <v>-0.41666666666666669</v>
      </c>
    </row>
    <row r="46" spans="20:21" ht="23" x14ac:dyDescent="0.25">
      <c r="T46" s="46" t="s">
        <v>122</v>
      </c>
      <c r="U46" s="48">
        <v>-0.41176470588235292</v>
      </c>
    </row>
    <row r="47" spans="20:21" ht="23" x14ac:dyDescent="0.25">
      <c r="T47" s="46" t="s">
        <v>106</v>
      </c>
      <c r="U47" s="48">
        <v>-0.38461538461538464</v>
      </c>
    </row>
    <row r="48" spans="20:21" ht="23" x14ac:dyDescent="0.25">
      <c r="T48" s="46" t="s">
        <v>128</v>
      </c>
      <c r="U48" s="49">
        <v>-0.19230769230769232</v>
      </c>
    </row>
    <row r="49" spans="20:21" ht="23" x14ac:dyDescent="0.25">
      <c r="T49" s="46" t="s">
        <v>48</v>
      </c>
      <c r="U49" s="49">
        <v>-0.1111111111111111</v>
      </c>
    </row>
  </sheetData>
  <mergeCells count="6">
    <mergeCell ref="T13:U15"/>
    <mergeCell ref="T34:T36"/>
    <mergeCell ref="L7:N8"/>
    <mergeCell ref="L9:N11"/>
    <mergeCell ref="P7:R8"/>
    <mergeCell ref="P9:R1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Cleaned_Data</vt:lpstr>
      <vt:lpstr>Summary</vt:lpstr>
      <vt:lpstr>Venn Diagram Analysis</vt:lpstr>
      <vt:lpstr>Deeper Analysis</vt:lpstr>
      <vt:lpstr>Dashboard - Key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Gresha Shah</cp:lastModifiedBy>
  <dcterms:created xsi:type="dcterms:W3CDTF">2025-05-08T21:17:56Z</dcterms:created>
  <dcterms:modified xsi:type="dcterms:W3CDTF">2025-07-04T18:03:29Z</dcterms:modified>
</cp:coreProperties>
</file>