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id\goorambatsf\reports\GESF-GR-RPT-005 Dynamic Studies Report\report-assets\analysis\psse-wan\WAN_tests\"/>
    </mc:Choice>
  </mc:AlternateContent>
  <xr:revisionPtr revIDLastSave="0" documentId="13_ncr:1_{CB12A2B4-C242-431E-B716-2632D15DF27E}" xr6:coauthVersionLast="47" xr6:coauthVersionMax="47" xr10:uidLastSave="{00000000-0000-0000-0000-000000000000}"/>
  <bookViews>
    <workbookView xWindow="-14670" yWindow="-16320" windowWidth="29040" windowHeight="15720" tabRatio="662" activeTab="3" xr2:uid="{358C3630-FC15-4E6F-AC67-1FD0BF8DC5EA}"/>
  </bookViews>
  <sheets>
    <sheet name="Generator Details" sheetId="20" r:id="rId1"/>
    <sheet name="FlatRun" sheetId="30" r:id="rId2"/>
    <sheet name="Branch_Trips_SH" sheetId="31" r:id="rId3"/>
    <sheet name="Branch_Trips_SL2" sheetId="32" r:id="rId4"/>
    <sheet name="Branch_Trips_SL1" sheetId="24" r:id="rId5"/>
    <sheet name="52513_Vref" sheetId="26" r:id="rId6"/>
    <sheet name="52513_Qref" sheetId="27" r:id="rId7"/>
    <sheet name="52513_PFref" sheetId="28" r:id="rId8"/>
    <sheet name="CSR_TOV" sheetId="25" r:id="rId9"/>
  </sheets>
  <externalReferences>
    <externalReference r:id="rId10"/>
  </externalReferences>
  <definedNames>
    <definedName name="DMAT_3.2.10_Qref_PFref_Fig4_t">#REF!</definedName>
    <definedName name="DMAT_3.2.10_Qref_PFref_Fig4_v">#REF!</definedName>
    <definedName name="DMAT_3.2.10_Vgrid_Fig3_t">#REF!</definedName>
    <definedName name="DMAT_3.2.10_Vgrid_Fig3_v">#REF!</definedName>
    <definedName name="DMAT_3.2.10_Vref_Fig2_t">#REF!</definedName>
    <definedName name="DMAT_3.2.10_Vref_Fig2_v">#REF!</definedName>
    <definedName name="DMAT_3.2.11_Pref_Fig5_t">#REF!</definedName>
    <definedName name="DMAT_3.2.11_Pref_Fig5_v">#REF!</definedName>
    <definedName name="DMAT_3.2.12_Fgrid_Fig6_r">#REF!</definedName>
    <definedName name="DMAT_3.2.12_Fgrid_Fig6_t">#REF!</definedName>
    <definedName name="DMAT_3.2.12_Fgrid_Fig6_v">#REF!</definedName>
    <definedName name="DMAT_3.2.12_Fgrid_Fig7_r">#REF!</definedName>
    <definedName name="DMAT_3.2.12_Fgrid_Fig7_t">#REF!</definedName>
    <definedName name="DMAT_3.2.12_Fgrid_Fig7_v">#REF!</definedName>
    <definedName name="DMAT_3.2.14_Fig10_r">#REF!</definedName>
    <definedName name="DMAT_3.2.14_Fig10_t">#REF!</definedName>
    <definedName name="DMAT_3.2.14_Fig10_v">#REF!</definedName>
    <definedName name="DMAT_3.2.14_Fig8_r">#REF!</definedName>
    <definedName name="DMAT_3.2.14_Fig8_t">#REF!</definedName>
    <definedName name="DMAT_3.2.14_Fig8_v">#REF!</definedName>
    <definedName name="DMAT_3.2.14_Fig9_r">#REF!</definedName>
    <definedName name="DMAT_3.2.14_Fig9_t">#REF!</definedName>
    <definedName name="DMAT_3.2.14_Fig9_v">#REF!</definedName>
    <definedName name="DMAT_3.2.16_Phase_Steps_t">#REF!</definedName>
    <definedName name="DMAT_3.2.16_Phase_Steps_v">#REF!</definedName>
    <definedName name="DMAT_3.2.17_SCR1_Pref_Fig12_t">#REF!</definedName>
    <definedName name="DMAT_3.2.17_SCR1_Pref_Fig12_v">#REF!</definedName>
    <definedName name="f_string">_xlfn.LAMBDA(_xlpm.f_string,_xlpm.values, _xlfn.LET(   _xlpm.is_labeled, NOT(ISNUMBER(FIND("{}", _xlpm.f_string))),   _xlpm.is_numbered, ISNUMBER(FIND("{1}", _xlpm.f_string)),   _xlpm.value_pairs, IF( _xlpm.is_numbered,     _xlfn.HSTACK(_xlfn.SEQUENCE(ROWS(_xlpm.values)), _xlpm.values),     IF( COLUMNS(_xlpm.values) = 1,        _xlfn.WRAPROWS(_xlpm.values, 2),        _xlpm.values) ),   _xlpm.pair_rows, _xlfn.SEQUENCE(ROWS(_xlpm.value_pairs)),   _xlpm.unlabeled, _xlfn.REDUCE(_xlpm.f_string, _xlpm.values,      _xlfn.LAMBDA(_xlpm.string,_xlpm.value,       IFERROR(SUBSTITUTE(_xlpm.string, "{}", _xlpm.value, 1),          _xlpm.string))),   _xlpm.labeled, _xlfn.REDUCE(_xlpm.f_string, _xlpm.pair_rows,      _xlfn.LAMBDA(_xlpm.string,_xlpm.pair_row, _xlfn.LET(       _xlpm.label, INDEX(_xlpm.value_pairs, _xlpm.pair_row, 1),       _xlpm.value, INDEX(_xlpm.value_pairs, _xlpm.pair_row, 2),       IFERROR(SUBSTITUTE(_xlpm.string, "{" &amp; _xlpm.label &amp; "}", _xlpm.value),          _xlpm.string) ))),   IF(_xlpm.is_labeled, _xlpm.labeled, _xlpm.unlabeled) 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8" l="1"/>
  <c r="H7" i="28"/>
  <c r="H8" i="28"/>
  <c r="H9" i="28"/>
  <c r="H11" i="28"/>
  <c r="H12" i="28"/>
  <c r="H5" i="27"/>
  <c r="H7" i="27"/>
  <c r="H8" i="27"/>
  <c r="H9" i="27"/>
  <c r="H10" i="27"/>
  <c r="H2" i="27"/>
  <c r="H3" i="26"/>
  <c r="H4" i="26"/>
  <c r="H5" i="26"/>
  <c r="H6" i="26"/>
  <c r="H7" i="26"/>
  <c r="H8" i="26"/>
  <c r="H13" i="26"/>
  <c r="X11" i="28"/>
  <c r="X10" i="28"/>
  <c r="AC12" i="27"/>
  <c r="X12" i="27" s="1"/>
  <c r="AB12" i="27"/>
  <c r="AB11" i="27"/>
  <c r="AB10" i="27"/>
  <c r="X10" i="27" s="1"/>
  <c r="AB7" i="27"/>
  <c r="U13" i="27"/>
  <c r="U12" i="27"/>
  <c r="U11" i="27"/>
  <c r="U10" i="27"/>
  <c r="U7" i="27"/>
  <c r="P5" i="28"/>
  <c r="H5" i="28" s="1"/>
  <c r="P4" i="28"/>
  <c r="H4" i="28" s="1"/>
  <c r="P3" i="28"/>
  <c r="H3" i="28" s="1"/>
  <c r="P2" i="28"/>
  <c r="H2" i="28" s="1"/>
  <c r="P3" i="27"/>
  <c r="Q3" i="27" s="1"/>
  <c r="P4" i="27"/>
  <c r="Q4" i="27" s="1"/>
  <c r="P5" i="27"/>
  <c r="P2" i="27"/>
  <c r="P3" i="26"/>
  <c r="P4" i="26"/>
  <c r="P5" i="26"/>
  <c r="P2" i="26"/>
  <c r="H2" i="26" s="1"/>
  <c r="P11" i="28"/>
  <c r="Q11" i="28" s="1"/>
  <c r="P12" i="28"/>
  <c r="Q12" i="28" s="1"/>
  <c r="P13" i="28"/>
  <c r="Q13" i="28" s="1"/>
  <c r="P10" i="28"/>
  <c r="Q10" i="28" s="1"/>
  <c r="P6" i="28"/>
  <c r="P7" i="28"/>
  <c r="P8" i="28"/>
  <c r="R8" i="28" s="1"/>
  <c r="P9" i="28"/>
  <c r="R9" i="28" s="1"/>
  <c r="P11" i="27"/>
  <c r="H11" i="27" s="1"/>
  <c r="P12" i="27"/>
  <c r="H12" i="27" s="1"/>
  <c r="P13" i="27"/>
  <c r="R13" i="27" s="1"/>
  <c r="P10" i="27"/>
  <c r="R10" i="27" s="1"/>
  <c r="P11" i="26"/>
  <c r="H11" i="26" s="1"/>
  <c r="P12" i="26"/>
  <c r="H12" i="26" s="1"/>
  <c r="P13" i="26"/>
  <c r="P6" i="26"/>
  <c r="P7" i="26"/>
  <c r="P8" i="26"/>
  <c r="P9" i="26"/>
  <c r="H9" i="26" s="1"/>
  <c r="P10" i="26"/>
  <c r="H10" i="26" s="1"/>
  <c r="Q3" i="28"/>
  <c r="Q4" i="28"/>
  <c r="Q5" i="28"/>
  <c r="Q6" i="28"/>
  <c r="Q7" i="28"/>
  <c r="Q8" i="28"/>
  <c r="Q9" i="28"/>
  <c r="R6" i="28"/>
  <c r="R7" i="28"/>
  <c r="T6" i="28"/>
  <c r="W6" i="28" s="1"/>
  <c r="T7" i="28"/>
  <c r="W7" i="28" s="1"/>
  <c r="T8" i="28"/>
  <c r="W8" i="28" s="1"/>
  <c r="T9" i="28"/>
  <c r="W9" i="28" s="1"/>
  <c r="T10" i="28"/>
  <c r="T11" i="28"/>
  <c r="T12" i="28"/>
  <c r="U12" i="28" s="1"/>
  <c r="T13" i="28"/>
  <c r="U13" i="28" s="1"/>
  <c r="U10" i="28"/>
  <c r="U11" i="28"/>
  <c r="V10" i="28"/>
  <c r="V11" i="28"/>
  <c r="V12" i="28"/>
  <c r="X12" i="28" s="1"/>
  <c r="V13" i="28"/>
  <c r="W10" i="28"/>
  <c r="W11" i="28"/>
  <c r="W12" i="28"/>
  <c r="W13" i="28"/>
  <c r="X13" i="28" s="1"/>
  <c r="T2" i="27"/>
  <c r="T3" i="27"/>
  <c r="T4" i="27"/>
  <c r="T5" i="27"/>
  <c r="T6" i="27"/>
  <c r="T7" i="27"/>
  <c r="T8" i="27"/>
  <c r="T9" i="27"/>
  <c r="T10" i="27"/>
  <c r="T11" i="27"/>
  <c r="T12" i="27"/>
  <c r="T13" i="27"/>
  <c r="Q5" i="27"/>
  <c r="Q7" i="27"/>
  <c r="Q8" i="27"/>
  <c r="Q9" i="27"/>
  <c r="Q10" i="27"/>
  <c r="Q11" i="27"/>
  <c r="Q12" i="27"/>
  <c r="Q2" i="27"/>
  <c r="P7" i="27"/>
  <c r="P8" i="27"/>
  <c r="U8" i="27" s="1"/>
  <c r="P9" i="27"/>
  <c r="U9" i="27" s="1"/>
  <c r="P6" i="27"/>
  <c r="U6" i="27" s="1"/>
  <c r="R6" i="27"/>
  <c r="R7" i="27"/>
  <c r="R8" i="27"/>
  <c r="R9" i="27"/>
  <c r="X7" i="27"/>
  <c r="X11" i="27"/>
  <c r="T2" i="26"/>
  <c r="T3" i="26"/>
  <c r="T4" i="26"/>
  <c r="T5" i="26"/>
  <c r="T6" i="26"/>
  <c r="T7" i="26"/>
  <c r="T8" i="26"/>
  <c r="T9" i="26"/>
  <c r="T10" i="26"/>
  <c r="T11" i="26"/>
  <c r="T12" i="26"/>
  <c r="T13" i="26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2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AB41" i="32"/>
  <c r="R41" i="32"/>
  <c r="B41" i="32"/>
  <c r="R40" i="32"/>
  <c r="B40" i="32"/>
  <c r="R39" i="32"/>
  <c r="B39" i="32"/>
  <c r="R38" i="32"/>
  <c r="B38" i="32"/>
  <c r="R37" i="32"/>
  <c r="B37" i="32"/>
  <c r="AH36" i="32"/>
  <c r="R36" i="32"/>
  <c r="B36" i="32"/>
  <c r="R35" i="32"/>
  <c r="B35" i="32"/>
  <c r="R34" i="32"/>
  <c r="B34" i="32"/>
  <c r="R33" i="32"/>
  <c r="B33" i="32"/>
  <c r="R32" i="32"/>
  <c r="B32" i="32"/>
  <c r="R31" i="32"/>
  <c r="B31" i="32"/>
  <c r="R30" i="32"/>
  <c r="B30" i="32"/>
  <c r="R29" i="32"/>
  <c r="B29" i="32"/>
  <c r="R28" i="32"/>
  <c r="B28" i="32"/>
  <c r="R27" i="32"/>
  <c r="B27" i="32"/>
  <c r="R26" i="32"/>
  <c r="B26" i="32"/>
  <c r="R25" i="32"/>
  <c r="B25" i="32"/>
  <c r="R24" i="32"/>
  <c r="B24" i="32"/>
  <c r="R23" i="32"/>
  <c r="B23" i="32"/>
  <c r="R22" i="32"/>
  <c r="B22" i="32"/>
  <c r="AJ21" i="32"/>
  <c r="AI21" i="32"/>
  <c r="AH21" i="32"/>
  <c r="R21" i="32"/>
  <c r="B21" i="32"/>
  <c r="R20" i="32"/>
  <c r="B20" i="32"/>
  <c r="R19" i="32"/>
  <c r="B19" i="32"/>
  <c r="R18" i="32"/>
  <c r="B18" i="32"/>
  <c r="R17" i="32"/>
  <c r="B17" i="32"/>
  <c r="R16" i="32"/>
  <c r="B16" i="32"/>
  <c r="R15" i="32"/>
  <c r="B15" i="32"/>
  <c r="R14" i="32"/>
  <c r="B14" i="32"/>
  <c r="R13" i="32"/>
  <c r="B13" i="32"/>
  <c r="AH12" i="32"/>
  <c r="R12" i="32"/>
  <c r="B12" i="32"/>
  <c r="R11" i="32"/>
  <c r="B11" i="32"/>
  <c r="R10" i="32"/>
  <c r="B10" i="32"/>
  <c r="R9" i="32"/>
  <c r="B9" i="32"/>
  <c r="R8" i="32"/>
  <c r="B8" i="32"/>
  <c r="R7" i="32"/>
  <c r="B7" i="32"/>
  <c r="R6" i="32"/>
  <c r="B6" i="32"/>
  <c r="R5" i="32"/>
  <c r="B5" i="32"/>
  <c r="R4" i="32"/>
  <c r="B4" i="32"/>
  <c r="R3" i="32"/>
  <c r="B3" i="32"/>
  <c r="R2" i="32"/>
  <c r="B2" i="32"/>
  <c r="AB41" i="31"/>
  <c r="R41" i="31"/>
  <c r="B41" i="31"/>
  <c r="R40" i="31"/>
  <c r="B40" i="31"/>
  <c r="R39" i="31"/>
  <c r="B39" i="31"/>
  <c r="R38" i="31"/>
  <c r="B38" i="31"/>
  <c r="R37" i="31"/>
  <c r="B37" i="31"/>
  <c r="AH36" i="31"/>
  <c r="R36" i="31"/>
  <c r="B36" i="31"/>
  <c r="R35" i="31"/>
  <c r="B35" i="31"/>
  <c r="R34" i="31"/>
  <c r="B34" i="31"/>
  <c r="R33" i="31"/>
  <c r="B33" i="31"/>
  <c r="R32" i="31"/>
  <c r="B32" i="31"/>
  <c r="R31" i="31"/>
  <c r="B31" i="31"/>
  <c r="R30" i="31"/>
  <c r="B30" i="31"/>
  <c r="R29" i="31"/>
  <c r="B29" i="31"/>
  <c r="R28" i="31"/>
  <c r="B28" i="31"/>
  <c r="R27" i="31"/>
  <c r="B27" i="31"/>
  <c r="R26" i="31"/>
  <c r="B26" i="31"/>
  <c r="R25" i="31"/>
  <c r="B25" i="31"/>
  <c r="R24" i="31"/>
  <c r="B24" i="31"/>
  <c r="R23" i="31"/>
  <c r="B23" i="31"/>
  <c r="R22" i="31"/>
  <c r="B22" i="31"/>
  <c r="AJ21" i="31"/>
  <c r="AI21" i="31"/>
  <c r="AH21" i="31"/>
  <c r="R21" i="31"/>
  <c r="B21" i="31"/>
  <c r="R20" i="31"/>
  <c r="B20" i="31"/>
  <c r="R19" i="31"/>
  <c r="B19" i="31"/>
  <c r="R18" i="31"/>
  <c r="B18" i="31"/>
  <c r="R17" i="31"/>
  <c r="B17" i="31"/>
  <c r="R16" i="31"/>
  <c r="B16" i="31"/>
  <c r="R15" i="31"/>
  <c r="B15" i="31"/>
  <c r="R14" i="31"/>
  <c r="B14" i="31"/>
  <c r="R13" i="31"/>
  <c r="B13" i="31"/>
  <c r="AH12" i="31"/>
  <c r="R12" i="31"/>
  <c r="B12" i="31"/>
  <c r="R11" i="31"/>
  <c r="B11" i="31"/>
  <c r="R10" i="31"/>
  <c r="B10" i="31"/>
  <c r="R9" i="31"/>
  <c r="B9" i="31"/>
  <c r="R8" i="31"/>
  <c r="B8" i="31"/>
  <c r="R7" i="31"/>
  <c r="B7" i="31"/>
  <c r="R6" i="31"/>
  <c r="B6" i="31"/>
  <c r="R5" i="31"/>
  <c r="B5" i="31"/>
  <c r="R4" i="31"/>
  <c r="B4" i="31"/>
  <c r="R3" i="31"/>
  <c r="B3" i="31"/>
  <c r="R2" i="31"/>
  <c r="B2" i="31"/>
  <c r="G2" i="30"/>
  <c r="Q2" i="28" l="1"/>
  <c r="V9" i="28"/>
  <c r="X9" i="28" s="1"/>
  <c r="R13" i="28"/>
  <c r="AB6" i="27"/>
  <c r="X6" i="27" s="1"/>
  <c r="H6" i="27"/>
  <c r="V8" i="28"/>
  <c r="X8" i="28" s="1"/>
  <c r="R12" i="28"/>
  <c r="V7" i="28"/>
  <c r="R11" i="28"/>
  <c r="AB8" i="27"/>
  <c r="H4" i="27"/>
  <c r="V6" i="28"/>
  <c r="R10" i="28"/>
  <c r="AC8" i="27"/>
  <c r="X8" i="27" s="1"/>
  <c r="H3" i="27"/>
  <c r="AB9" i="27"/>
  <c r="Q13" i="27"/>
  <c r="AC9" i="27"/>
  <c r="X9" i="27" s="1"/>
  <c r="H13" i="28"/>
  <c r="H10" i="28"/>
  <c r="U8" i="28"/>
  <c r="U7" i="28"/>
  <c r="X7" i="28" s="1"/>
  <c r="U6" i="28"/>
  <c r="X6" i="28" s="1"/>
  <c r="AC13" i="27"/>
  <c r="R12" i="27"/>
  <c r="H13" i="27"/>
  <c r="U9" i="28"/>
  <c r="AB13" i="27"/>
  <c r="Q6" i="27"/>
  <c r="R11" i="27"/>
  <c r="R10" i="26"/>
  <c r="Q10" i="26"/>
  <c r="R11" i="26"/>
  <c r="Q11" i="26"/>
  <c r="R12" i="26"/>
  <c r="Q12" i="26"/>
  <c r="R13" i="26"/>
  <c r="Q13" i="26"/>
  <c r="R6" i="26"/>
  <c r="Q6" i="26"/>
  <c r="R7" i="26"/>
  <c r="Q7" i="26"/>
  <c r="R8" i="26"/>
  <c r="Q8" i="26"/>
  <c r="R9" i="26"/>
  <c r="Q9" i="26"/>
  <c r="AF2" i="32"/>
  <c r="AB2" i="32"/>
  <c r="AA2" i="32"/>
  <c r="AF3" i="32"/>
  <c r="AB3" i="32"/>
  <c r="AA3" i="32"/>
  <c r="AF4" i="32"/>
  <c r="AB4" i="32"/>
  <c r="AA4" i="32"/>
  <c r="AF5" i="32"/>
  <c r="AB5" i="32"/>
  <c r="AA5" i="32"/>
  <c r="AF6" i="32"/>
  <c r="AB6" i="32"/>
  <c r="AA6" i="32"/>
  <c r="AF7" i="32"/>
  <c r="AB7" i="32"/>
  <c r="AA7" i="32"/>
  <c r="AF8" i="32"/>
  <c r="AB8" i="32"/>
  <c r="AA8" i="32"/>
  <c r="AF9" i="32"/>
  <c r="AB9" i="32"/>
  <c r="AA9" i="32"/>
  <c r="AF10" i="32"/>
  <c r="AB10" i="32"/>
  <c r="AA10" i="32"/>
  <c r="AF11" i="32"/>
  <c r="AB11" i="32"/>
  <c r="AA11" i="32"/>
  <c r="AF12" i="32"/>
  <c r="AB12" i="32"/>
  <c r="AA12" i="32"/>
  <c r="AF13" i="32"/>
  <c r="AB13" i="32"/>
  <c r="AA13" i="32"/>
  <c r="AF14" i="32"/>
  <c r="AB14" i="32"/>
  <c r="AA14" i="32"/>
  <c r="AF15" i="32"/>
  <c r="AB15" i="32"/>
  <c r="AA15" i="32"/>
  <c r="AF16" i="32"/>
  <c r="AB16" i="32"/>
  <c r="AA16" i="32"/>
  <c r="AF17" i="32"/>
  <c r="AB17" i="32"/>
  <c r="AA17" i="32"/>
  <c r="AF18" i="32"/>
  <c r="AB18" i="32"/>
  <c r="AA18" i="32"/>
  <c r="AF19" i="32"/>
  <c r="AB19" i="32"/>
  <c r="AA19" i="32"/>
  <c r="AF20" i="32"/>
  <c r="AB20" i="32"/>
  <c r="AA20" i="32"/>
  <c r="AF21" i="32"/>
  <c r="AA21" i="32"/>
  <c r="AF22" i="32"/>
  <c r="AB22" i="32"/>
  <c r="AA22" i="32"/>
  <c r="AF23" i="32"/>
  <c r="AB23" i="32"/>
  <c r="AA23" i="32"/>
  <c r="AF24" i="32"/>
  <c r="AB24" i="32"/>
  <c r="AA24" i="32"/>
  <c r="AF25" i="32"/>
  <c r="AB25" i="32"/>
  <c r="AA25" i="32"/>
  <c r="AF26" i="32"/>
  <c r="AB26" i="32"/>
  <c r="AA26" i="32"/>
  <c r="AF27" i="32"/>
  <c r="AB27" i="32"/>
  <c r="AA27" i="32"/>
  <c r="AF28" i="32"/>
  <c r="AB28" i="32"/>
  <c r="AA28" i="32"/>
  <c r="AF29" i="32"/>
  <c r="AB29" i="32"/>
  <c r="AA29" i="32"/>
  <c r="AF30" i="32"/>
  <c r="AB30" i="32"/>
  <c r="AA30" i="32"/>
  <c r="AF31" i="32"/>
  <c r="AB31" i="32"/>
  <c r="AA31" i="32"/>
  <c r="AF32" i="32"/>
  <c r="AB32" i="32"/>
  <c r="AA32" i="32"/>
  <c r="AF33" i="32"/>
  <c r="AB33" i="32"/>
  <c r="AA33" i="32"/>
  <c r="AF34" i="32"/>
  <c r="AB34" i="32"/>
  <c r="AA34" i="32"/>
  <c r="AF35" i="32"/>
  <c r="AB35" i="32"/>
  <c r="AA35" i="32"/>
  <c r="AF36" i="32"/>
  <c r="AB36" i="32"/>
  <c r="AA36" i="32"/>
  <c r="AF37" i="32"/>
  <c r="AB37" i="32"/>
  <c r="AA37" i="32"/>
  <c r="AF38" i="32"/>
  <c r="AB38" i="32"/>
  <c r="AA38" i="32"/>
  <c r="AF39" i="32"/>
  <c r="AA39" i="32"/>
  <c r="AF40" i="32"/>
  <c r="AB40" i="32"/>
  <c r="AA40" i="32"/>
  <c r="AF41" i="32"/>
  <c r="AA41" i="32"/>
  <c r="AF2" i="31"/>
  <c r="AB2" i="31"/>
  <c r="AA2" i="31"/>
  <c r="AF3" i="31"/>
  <c r="AB3" i="31"/>
  <c r="AA3" i="31"/>
  <c r="AF4" i="31"/>
  <c r="AB4" i="31"/>
  <c r="AA4" i="31"/>
  <c r="AF5" i="31"/>
  <c r="AB5" i="31"/>
  <c r="AA5" i="31"/>
  <c r="AF6" i="31"/>
  <c r="AB6" i="31"/>
  <c r="AA6" i="31"/>
  <c r="AF7" i="31"/>
  <c r="AB7" i="31"/>
  <c r="AA7" i="31"/>
  <c r="AF8" i="31"/>
  <c r="AB8" i="31"/>
  <c r="AA8" i="31"/>
  <c r="AF9" i="31"/>
  <c r="AB9" i="31"/>
  <c r="AA9" i="31"/>
  <c r="AF10" i="31"/>
  <c r="AB10" i="31"/>
  <c r="AA10" i="31"/>
  <c r="AF11" i="31"/>
  <c r="AB11" i="31"/>
  <c r="AA11" i="31"/>
  <c r="AF12" i="31"/>
  <c r="AB12" i="31"/>
  <c r="AA12" i="31"/>
  <c r="AF13" i="31"/>
  <c r="AB13" i="31"/>
  <c r="AA13" i="31"/>
  <c r="AF14" i="31"/>
  <c r="AB14" i="31"/>
  <c r="AA14" i="31"/>
  <c r="AF15" i="31"/>
  <c r="AB15" i="31"/>
  <c r="AA15" i="31"/>
  <c r="AF16" i="31"/>
  <c r="AB16" i="31"/>
  <c r="AA16" i="31"/>
  <c r="AF17" i="31"/>
  <c r="AB17" i="31"/>
  <c r="AA17" i="31"/>
  <c r="AF18" i="31"/>
  <c r="AB18" i="31"/>
  <c r="AA18" i="31"/>
  <c r="AF19" i="31"/>
  <c r="AB19" i="31"/>
  <c r="AA19" i="31"/>
  <c r="AF20" i="31"/>
  <c r="AB20" i="31"/>
  <c r="AA20" i="31"/>
  <c r="AF21" i="31"/>
  <c r="AA21" i="31"/>
  <c r="AF22" i="31"/>
  <c r="AB22" i="31"/>
  <c r="AA22" i="31"/>
  <c r="AF23" i="31"/>
  <c r="AB23" i="31"/>
  <c r="AA23" i="31"/>
  <c r="AF24" i="31"/>
  <c r="AB24" i="31"/>
  <c r="AA24" i="31"/>
  <c r="AF25" i="31"/>
  <c r="AB25" i="31"/>
  <c r="AA25" i="31"/>
  <c r="AF26" i="31"/>
  <c r="AB26" i="31"/>
  <c r="AA26" i="31"/>
  <c r="AF27" i="31"/>
  <c r="AB27" i="31"/>
  <c r="AA27" i="31"/>
  <c r="AF28" i="31"/>
  <c r="AB28" i="31"/>
  <c r="AA28" i="31"/>
  <c r="AF29" i="31"/>
  <c r="AB29" i="31"/>
  <c r="AA29" i="31"/>
  <c r="AF30" i="31"/>
  <c r="AB30" i="31"/>
  <c r="AA30" i="31"/>
  <c r="AF31" i="31"/>
  <c r="AB31" i="31"/>
  <c r="AA31" i="31"/>
  <c r="AF32" i="31"/>
  <c r="AB32" i="31"/>
  <c r="AA32" i="31"/>
  <c r="AF33" i="31"/>
  <c r="AB33" i="31"/>
  <c r="AA33" i="31"/>
  <c r="AF34" i="31"/>
  <c r="AB34" i="31"/>
  <c r="AA34" i="31"/>
  <c r="AF35" i="31"/>
  <c r="AB35" i="31"/>
  <c r="AA35" i="31"/>
  <c r="AF36" i="31"/>
  <c r="AB36" i="31"/>
  <c r="AA36" i="31"/>
  <c r="AF37" i="31"/>
  <c r="AB37" i="31"/>
  <c r="AA37" i="31"/>
  <c r="AF38" i="31"/>
  <c r="AB38" i="31"/>
  <c r="AA38" i="31"/>
  <c r="AF39" i="31"/>
  <c r="AA39" i="31"/>
  <c r="AF40" i="31"/>
  <c r="AB40" i="31"/>
  <c r="AA40" i="31"/>
  <c r="AF41" i="31"/>
  <c r="AA41" i="31"/>
  <c r="X13" i="27" l="1"/>
  <c r="U13" i="26"/>
  <c r="U12" i="26"/>
  <c r="U11" i="26"/>
  <c r="U10" i="26"/>
  <c r="U9" i="26"/>
  <c r="U8" i="26"/>
  <c r="U7" i="26"/>
  <c r="U6" i="26"/>
  <c r="R3" i="28" l="1"/>
  <c r="T3" i="28"/>
  <c r="U3" i="28"/>
  <c r="V3" i="28"/>
  <c r="W3" i="28"/>
  <c r="X3" i="28"/>
  <c r="T4" i="28"/>
  <c r="T5" i="28"/>
  <c r="T2" i="28"/>
  <c r="AC5" i="27"/>
  <c r="X5" i="27" s="1"/>
  <c r="AB5" i="27"/>
  <c r="AC4" i="27"/>
  <c r="AB4" i="27"/>
  <c r="X4" i="27"/>
  <c r="AB3" i="27"/>
  <c r="X3" i="27"/>
  <c r="AB2" i="27"/>
  <c r="X2" i="27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2" i="24"/>
  <c r="P2" i="25"/>
  <c r="H2" i="25" s="1"/>
  <c r="L2" i="25"/>
  <c r="T2" i="25"/>
  <c r="X2" i="25"/>
  <c r="Z2" i="25"/>
  <c r="AC2" i="25"/>
  <c r="AE2" i="25"/>
  <c r="L8" i="25"/>
  <c r="P8" i="25"/>
  <c r="H8" i="25" s="1"/>
  <c r="Q8" i="25"/>
  <c r="R8" i="25"/>
  <c r="T8" i="25"/>
  <c r="X8" i="25"/>
  <c r="Z8" i="25"/>
  <c r="AC8" i="25"/>
  <c r="AE8" i="25"/>
  <c r="L4" i="25"/>
  <c r="L5" i="25"/>
  <c r="L6" i="25"/>
  <c r="L7" i="25"/>
  <c r="P4" i="25"/>
  <c r="Q4" i="25"/>
  <c r="P5" i="25"/>
  <c r="R5" i="25" s="1"/>
  <c r="Q5" i="25"/>
  <c r="P6" i="25"/>
  <c r="R6" i="25" s="1"/>
  <c r="P7" i="25"/>
  <c r="R7" i="25" s="1"/>
  <c r="Q7" i="25"/>
  <c r="P3" i="25"/>
  <c r="L3" i="25"/>
  <c r="T4" i="25"/>
  <c r="T5" i="25"/>
  <c r="T6" i="25"/>
  <c r="T7" i="25"/>
  <c r="T3" i="25"/>
  <c r="Q3" i="25"/>
  <c r="R3" i="25"/>
  <c r="R4" i="25"/>
  <c r="AE7" i="25"/>
  <c r="AC7" i="25"/>
  <c r="Z7" i="25"/>
  <c r="X7" i="25"/>
  <c r="AE6" i="25"/>
  <c r="AC6" i="25"/>
  <c r="Z6" i="25"/>
  <c r="X6" i="25"/>
  <c r="AE5" i="25"/>
  <c r="AC5" i="25"/>
  <c r="Z5" i="25"/>
  <c r="X5" i="25"/>
  <c r="H5" i="25"/>
  <c r="AE4" i="25"/>
  <c r="AC4" i="25"/>
  <c r="Z4" i="25"/>
  <c r="X4" i="25"/>
  <c r="H4" i="25"/>
  <c r="AE3" i="25"/>
  <c r="AC3" i="25"/>
  <c r="Z3" i="25"/>
  <c r="X3" i="25"/>
  <c r="H3" i="25"/>
  <c r="B18" i="20"/>
  <c r="B17" i="20"/>
  <c r="B14" i="20"/>
  <c r="B6" i="20"/>
  <c r="B4" i="20"/>
  <c r="H6" i="25" l="1"/>
  <c r="H7" i="25"/>
  <c r="Q6" i="25"/>
  <c r="R2" i="25"/>
  <c r="Q2" i="25"/>
  <c r="R2" i="28"/>
  <c r="R5" i="28"/>
  <c r="R4" i="28"/>
  <c r="R5" i="27"/>
  <c r="U5" i="27"/>
  <c r="R4" i="27"/>
  <c r="U4" i="27"/>
  <c r="R3" i="27"/>
  <c r="U3" i="27"/>
  <c r="R2" i="27"/>
  <c r="U2" i="27"/>
  <c r="R2" i="26"/>
  <c r="U2" i="26" s="1"/>
  <c r="Q2" i="26"/>
  <c r="R5" i="26"/>
  <c r="U5" i="26" s="1"/>
  <c r="Q5" i="26"/>
  <c r="R4" i="26"/>
  <c r="Q4" i="26"/>
  <c r="R3" i="26"/>
  <c r="Q3" i="26"/>
  <c r="W2" i="28"/>
  <c r="V2" i="28"/>
  <c r="U2" i="28"/>
  <c r="W5" i="28"/>
  <c r="V5" i="28"/>
  <c r="U5" i="28"/>
  <c r="W4" i="28"/>
  <c r="V4" i="28"/>
  <c r="U4" i="28"/>
  <c r="U3" i="26"/>
  <c r="U4" i="26"/>
  <c r="R3" i="24"/>
  <c r="AF3" i="24" s="1"/>
  <c r="R4" i="24"/>
  <c r="AF4" i="24" s="1"/>
  <c r="R5" i="24"/>
  <c r="AA5" i="24" s="1"/>
  <c r="R6" i="24"/>
  <c r="AF6" i="24" s="1"/>
  <c r="R7" i="24"/>
  <c r="R8" i="24"/>
  <c r="R9" i="24"/>
  <c r="R10" i="24"/>
  <c r="AF10" i="24" s="1"/>
  <c r="R11" i="24"/>
  <c r="AB11" i="24" s="1"/>
  <c r="R12" i="24"/>
  <c r="AB12" i="24" s="1"/>
  <c r="R13" i="24"/>
  <c r="R14" i="24"/>
  <c r="R15" i="24"/>
  <c r="AB15" i="24" s="1"/>
  <c r="R16" i="24"/>
  <c r="AB16" i="24" s="1"/>
  <c r="R17" i="24"/>
  <c r="R18" i="24"/>
  <c r="R19" i="24"/>
  <c r="AB19" i="24" s="1"/>
  <c r="R20" i="24"/>
  <c r="AF20" i="24" s="1"/>
  <c r="R21" i="24"/>
  <c r="AF21" i="24" s="1"/>
  <c r="R22" i="24"/>
  <c r="AB22" i="24" s="1"/>
  <c r="R23" i="24"/>
  <c r="AB23" i="24" s="1"/>
  <c r="R24" i="24"/>
  <c r="AB24" i="24" s="1"/>
  <c r="R25" i="24"/>
  <c r="AB25" i="24" s="1"/>
  <c r="R26" i="24"/>
  <c r="AB26" i="24" s="1"/>
  <c r="R27" i="24"/>
  <c r="AB27" i="24" s="1"/>
  <c r="R28" i="24"/>
  <c r="AB28" i="24" s="1"/>
  <c r="R29" i="24"/>
  <c r="AB29" i="24" s="1"/>
  <c r="R30" i="24"/>
  <c r="AB30" i="24" s="1"/>
  <c r="R31" i="24"/>
  <c r="AB31" i="24" s="1"/>
  <c r="R32" i="24"/>
  <c r="AB32" i="24" s="1"/>
  <c r="R33" i="24"/>
  <c r="AB33" i="24" s="1"/>
  <c r="R34" i="24"/>
  <c r="AB34" i="24" s="1"/>
  <c r="R35" i="24"/>
  <c r="AB35" i="24" s="1"/>
  <c r="R36" i="24"/>
  <c r="AB36" i="24" s="1"/>
  <c r="R37" i="24"/>
  <c r="R38" i="24"/>
  <c r="R39" i="24"/>
  <c r="R40" i="24"/>
  <c r="AF40" i="24" s="1"/>
  <c r="R41" i="24"/>
  <c r="AF41" i="24" s="1"/>
  <c r="R2" i="24"/>
  <c r="AF2" i="24" s="1"/>
  <c r="AB2" i="24"/>
  <c r="AA2" i="24"/>
  <c r="AA3" i="24"/>
  <c r="AA4" i="24"/>
  <c r="AA7" i="24"/>
  <c r="AA8" i="24"/>
  <c r="AA9" i="24"/>
  <c r="AA10" i="24"/>
  <c r="AA11" i="24"/>
  <c r="AA12" i="24"/>
  <c r="AA13" i="24"/>
  <c r="AA14" i="24"/>
  <c r="AA17" i="24"/>
  <c r="AA18" i="24"/>
  <c r="AA19" i="24"/>
  <c r="AA20" i="24"/>
  <c r="AA21" i="24"/>
  <c r="AA22" i="24"/>
  <c r="AA23" i="24"/>
  <c r="AA24" i="24"/>
  <c r="AA27" i="24"/>
  <c r="AA28" i="24"/>
  <c r="AA29" i="24"/>
  <c r="AA30" i="24"/>
  <c r="AA31" i="24"/>
  <c r="AA32" i="24"/>
  <c r="AA33" i="24"/>
  <c r="AA34" i="24"/>
  <c r="AA37" i="24"/>
  <c r="AA38" i="24"/>
  <c r="AA39" i="24"/>
  <c r="AA40" i="24"/>
  <c r="AA41" i="24"/>
  <c r="AB41" i="24"/>
  <c r="AB40" i="24"/>
  <c r="AB38" i="24"/>
  <c r="AB37" i="24"/>
  <c r="AF7" i="24"/>
  <c r="AF8" i="24"/>
  <c r="AF9" i="24"/>
  <c r="AF13" i="24"/>
  <c r="AF14" i="24"/>
  <c r="AF15" i="24"/>
  <c r="AF16" i="24"/>
  <c r="AF17" i="24"/>
  <c r="AF18" i="24"/>
  <c r="AF19" i="24"/>
  <c r="AF27" i="24"/>
  <c r="AF28" i="24"/>
  <c r="AF29" i="24"/>
  <c r="AF33" i="24"/>
  <c r="AF34" i="24"/>
  <c r="AF35" i="24"/>
  <c r="AF36" i="24"/>
  <c r="AF37" i="24"/>
  <c r="AF38" i="24"/>
  <c r="AF39" i="24"/>
  <c r="AB18" i="24"/>
  <c r="AB17" i="24"/>
  <c r="AB14" i="24"/>
  <c r="AB13" i="24"/>
  <c r="AB10" i="24"/>
  <c r="AB9" i="24"/>
  <c r="AB8" i="24"/>
  <c r="AB7" i="24"/>
  <c r="AB4" i="24"/>
  <c r="AB3" i="24"/>
  <c r="AH36" i="24"/>
  <c r="AJ21" i="24"/>
  <c r="AI21" i="24"/>
  <c r="AH21" i="24"/>
  <c r="AH12" i="24"/>
  <c r="AF32" i="24" l="1"/>
  <c r="AF12" i="24"/>
  <c r="AF31" i="24"/>
  <c r="AF11" i="24"/>
  <c r="AA36" i="24"/>
  <c r="AA16" i="24"/>
  <c r="AF30" i="24"/>
  <c r="AA35" i="24"/>
  <c r="AA15" i="24"/>
  <c r="AB5" i="24"/>
  <c r="AF25" i="24"/>
  <c r="AF24" i="24"/>
  <c r="AF23" i="24"/>
  <c r="AB20" i="24"/>
  <c r="AF22" i="24"/>
  <c r="AB6" i="24"/>
  <c r="AF26" i="24"/>
  <c r="AA6" i="24"/>
  <c r="AF5" i="24"/>
  <c r="AA26" i="24"/>
  <c r="AA25" i="24"/>
  <c r="X5" i="28"/>
  <c r="X4" i="28"/>
  <c r="X2" i="28"/>
</calcChain>
</file>

<file path=xl/sharedStrings.xml><?xml version="1.0" encoding="utf-8"?>
<sst xmlns="http://schemas.openxmlformats.org/spreadsheetml/2006/main" count="913" uniqueCount="108">
  <si>
    <t>Deliverable</t>
  </si>
  <si>
    <t>Category</t>
  </si>
  <si>
    <t>PSSE</t>
  </si>
  <si>
    <t>PSCAD</t>
  </si>
  <si>
    <t>Test No</t>
  </si>
  <si>
    <t>Subtest No</t>
  </si>
  <si>
    <t>File_Name</t>
  </si>
  <si>
    <t>Post_Init_Duration_s</t>
  </si>
  <si>
    <t>Model_Relpath</t>
  </si>
  <si>
    <t>Parameter</t>
  </si>
  <si>
    <t>Value</t>
  </si>
  <si>
    <t>Minimum SCR</t>
  </si>
  <si>
    <t>Voltage droop (%)</t>
  </si>
  <si>
    <t>POC Qbase (MVAr)</t>
  </si>
  <si>
    <t>Minimum SCR X2R</t>
  </si>
  <si>
    <t>Normal Vpoc (pu)</t>
  </si>
  <si>
    <t>POC Sbase (MVA)</t>
  </si>
  <si>
    <t>POC Pbase (MW)</t>
  </si>
  <si>
    <t>POC Qmax (MVAr)</t>
  </si>
  <si>
    <t>POC Qmin (MVAr)</t>
  </si>
  <si>
    <t>POC Pmin (MW)</t>
  </si>
  <si>
    <t>POC Pmax (MW)</t>
  </si>
  <si>
    <t>Vslack_pu_sig</t>
  </si>
  <si>
    <t>PSSE Commands</t>
  </si>
  <si>
    <t>CSR</t>
  </si>
  <si>
    <t>Model Name</t>
  </si>
  <si>
    <t>Generator Connected</t>
  </si>
  <si>
    <t>Generator Disconnected</t>
  </si>
  <si>
    <t>NEAR</t>
  </si>
  <si>
    <t>FAR</t>
  </si>
  <si>
    <t>RECLOSE</t>
  </si>
  <si>
    <t>Fault_Time_sig</t>
  </si>
  <si>
    <t>Fault_Duration_sig</t>
  </si>
  <si>
    <t>Ures_sig</t>
  </si>
  <si>
    <t>Zf2Zs_sig</t>
  </si>
  <si>
    <t>Rf_Offset_sig</t>
  </si>
  <si>
    <t>Xf_Offset_sig</t>
  </si>
  <si>
    <t>Fault_Type_sig</t>
  </si>
  <si>
    <t>Distance</t>
  </si>
  <si>
    <t>Fault_X2R_sig</t>
  </si>
  <si>
    <t>Schemes</t>
  </si>
  <si>
    <t>Original</t>
  </si>
  <si>
    <t>Schemes2</t>
  </si>
  <si>
    <t>Schemes3</t>
  </si>
  <si>
    <t>Steps_Per_Write</t>
  </si>
  <si>
    <t>TRIP SWITCHED_SHUNT 'DED' AT 5.0s</t>
  </si>
  <si>
    <t>Fault_Timing_Signal_sig</t>
  </si>
  <si>
    <t>Column1</t>
  </si>
  <si>
    <t>CB FAIL</t>
  </si>
  <si>
    <t>CB FAIL SCENARIO</t>
  </si>
  <si>
    <t>Minimum fault level (MVA)</t>
  </si>
  <si>
    <t>Maximum fault level (MVA)</t>
  </si>
  <si>
    <t>Maximum SCR</t>
  </si>
  <si>
    <t>Maximum SCR X2R</t>
  </si>
  <si>
    <t>Vqmin (pu)</t>
  </si>
  <si>
    <t>Vqmax (pu)</t>
  </si>
  <si>
    <t>POC Vbase (kV)</t>
  </si>
  <si>
    <t>Figure Number</t>
  </si>
  <si>
    <t>Clause</t>
  </si>
  <si>
    <t>Batch</t>
  </si>
  <si>
    <t>Grid_SCR</t>
  </si>
  <si>
    <t>Grid_FL_MVA_sig</t>
  </si>
  <si>
    <t>Grid_X2R_sig</t>
  </si>
  <si>
    <t>Vpoc_pu_sig</t>
  </si>
  <si>
    <t>Qpoc_pu</t>
  </si>
  <si>
    <t>Qpoc_MVAr_sig</t>
  </si>
  <si>
    <t>Vref_pu_sig</t>
  </si>
  <si>
    <t>Ppoc_pu</t>
  </si>
  <si>
    <t>Ppoc_MW_sig</t>
  </si>
  <si>
    <t>U_Ov</t>
  </si>
  <si>
    <t>Fault_Time</t>
  </si>
  <si>
    <t>Fault_Duration</t>
  </si>
  <si>
    <t>TOV_Timing_Signal_sig</t>
  </si>
  <si>
    <t>Post_Fault_Duration</t>
  </si>
  <si>
    <t>TOV_Shunt_C_uF_sig</t>
  </si>
  <si>
    <t>TOV_MVAr</t>
  </si>
  <si>
    <t>Vpoc_disturbance_pu_sig</t>
  </si>
  <si>
    <t>TOV</t>
  </si>
  <si>
    <t>Vref_init</t>
  </si>
  <si>
    <t>Test Details</t>
  </si>
  <si>
    <t>Vref Steps</t>
  </si>
  <si>
    <t>Vref change -5% (sat)</t>
  </si>
  <si>
    <t>Vref change +5%</t>
  </si>
  <si>
    <t>Vref change -2.5%, +5%</t>
  </si>
  <si>
    <t>Vref change +2.5%, -5%</t>
  </si>
  <si>
    <t>Signal1</t>
  </si>
  <si>
    <t>Signal2</t>
  </si>
  <si>
    <t>T1</t>
  </si>
  <si>
    <t>T2</t>
  </si>
  <si>
    <t>Qref Steps</t>
  </si>
  <si>
    <t>0.5Q_PF_target</t>
  </si>
  <si>
    <t>0.25Q_PF_target</t>
  </si>
  <si>
    <t>1.25Q_PF_target</t>
  </si>
  <si>
    <t>PFref Steps</t>
  </si>
  <si>
    <t>PFref 0.5pu at 5s</t>
  </si>
  <si>
    <t>PFref -0.5pu at 5s</t>
  </si>
  <si>
    <t>PFref 0.5pu at 5s, 1.5pu at 15s</t>
  </si>
  <si>
    <t>PFref -0.5pu at 5s, -1.5pu at 15s</t>
  </si>
  <si>
    <t>Comment</t>
  </si>
  <si>
    <t>Not active for this case P&lt;400 MW (pickup is 1260 MW)</t>
  </si>
  <si>
    <t>APPLY FAULT TO BRANCH 'BAL220_WAR220' AT 5s WITH TYPE=7, RF_OFFSET=0, XF_OFFSET=0, DURATION=0.22s, DISTANCE=0.01;
TRIP BRANCH 'BAL220_WAR220|NEAR' AT 5.12s;
TRIP BRANCH 'BAL220_WAR220|FAR' AT 5.22s;
TRIP BRANCH 'MURRA_MRTS' AT 5.18s;
TRIP BRANCH 'MURRA_KIAM' AT 5.18s;
TRIP MACHINE 'BULGG1' AT 5.18s;
TRIP MACHINE 'BULGG2' AT 5.18s;
TRIP MACHINE 'BULGBESS' AT 5.18s;
TRIP BRANCH 'MURRA_HOTS' AT 5.2s;
TRIP MACHINE 'WBTSG1' AT 5.2s;
TRIP MACHINE 'WBTSG2' AT 5.2s;
TRIP MACHINE 'WBTSG3' AT 5.2s;
TRIP MACHINE 'WBTSG4' AT 5.2s;
TRIP MACHINE 'WBTSG5' AT 5.2s</t>
  </si>
  <si>
    <t>TRIP MACHINE 'CROW' AT 5.18s removed since machine already out of service</t>
  </si>
  <si>
    <t>FlatRun</t>
  </si>
  <si>
    <t>NA</t>
  </si>
  <si>
    <t>SummerHigh</t>
  </si>
  <si>
    <t>SummerLow_Case1</t>
  </si>
  <si>
    <t>SummerLow_Case2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</si>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</sst>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/>
    <xf numFmtId="0" fontId="18" fillId="0" borderId="10" xfId="0" applyFont="1" applyBorder="1" applyAlignment="1">
      <alignment horizontal="center" vertical="top"/>
    </xf>
    <xf numFmtId="0" fontId="18" fillId="0" borderId="11" xfId="0" applyFont="1" applyBorder="1" applyAlignment="1">
      <alignment horizontal="center" vertical="top"/>
    </xf>
    <xf numFmtId="0" fontId="9" fillId="5" borderId="4" xfId="9"/>
    <xf numFmtId="0" fontId="10" fillId="6" borderId="5" xfId="10"/>
    <xf numFmtId="0" fontId="0" fillId="8" borderId="8" xfId="15" applyFont="1"/>
    <xf numFmtId="0" fontId="11" fillId="6" borderId="4" xfId="11"/>
    <xf numFmtId="0" fontId="10" fillId="6" borderId="5" xfId="10" applyNumberFormat="1"/>
    <xf numFmtId="0" fontId="9" fillId="5" borderId="12" xfId="9" applyBorder="1"/>
    <xf numFmtId="0" fontId="10" fillId="6" borderId="13" xfId="10" applyBorder="1"/>
    <xf numFmtId="0" fontId="0" fillId="8" borderId="14" xfId="15" applyFont="1" applyBorder="1"/>
    <xf numFmtId="0" fontId="10" fillId="6" borderId="5" xfId="10" applyAlignment="1">
      <alignment wrapText="1"/>
    </xf>
    <xf numFmtId="0" fontId="10" fillId="6" borderId="5" xfId="10" applyNumberFormat="1" applyAlignment="1">
      <alignment wrapText="1"/>
    </xf>
    <xf numFmtId="0" fontId="10" fillId="6" borderId="13" xfId="10" applyNumberFormat="1" applyBorder="1" applyAlignment="1">
      <alignment wrapText="1"/>
    </xf>
    <xf numFmtId="0" fontId="0" fillId="0" borderId="0" xfId="0" applyAlignment="1">
      <alignment wrapText="1"/>
    </xf>
    <xf numFmtId="0" fontId="0" fillId="8" borderId="0" xfId="15" applyFont="1" applyBorder="1"/>
    <xf numFmtId="0" fontId="9" fillId="5" borderId="0" xfId="9" applyBorder="1"/>
    <xf numFmtId="0" fontId="10" fillId="6" borderId="5" xfId="10" applyNumberFormat="1" applyAlignment="1">
      <alignment vertical="top" wrapText="1"/>
    </xf>
    <xf numFmtId="0" fontId="19" fillId="5" borderId="4" xfId="9" applyFont="1"/>
    <xf numFmtId="0" fontId="20" fillId="6" borderId="4" xfId="11" applyFont="1"/>
    <xf numFmtId="164" fontId="19" fillId="5" borderId="4" xfId="42" applyNumberFormat="1" applyFont="1" applyFill="1" applyBorder="1"/>
    <xf numFmtId="165" fontId="19" fillId="5" borderId="4" xfId="9" applyNumberFormat="1" applyFont="1"/>
    <xf numFmtId="0" fontId="20" fillId="0" borderId="0" xfId="0" applyFont="1"/>
    <xf numFmtId="0" fontId="18" fillId="0" borderId="15" xfId="0" applyFont="1" applyBorder="1" applyAlignment="1">
      <alignment horizontal="center" vertical="top"/>
    </xf>
    <xf numFmtId="0" fontId="12" fillId="0" borderId="6" xfId="12"/>
    <xf numFmtId="0" fontId="19" fillId="8" borderId="8" xfId="15" applyFont="1"/>
    <xf numFmtId="0" fontId="11" fillId="6" borderId="4" xfId="11" applyNumberFormat="1"/>
    <xf numFmtId="0" fontId="9" fillId="5" borderId="4" xfId="9" applyNumberFormat="1"/>
    <xf numFmtId="0" fontId="19" fillId="8" borderId="8" xfId="15" applyNumberFormat="1" applyFont="1"/>
    <xf numFmtId="0" fontId="18" fillId="0" borderId="0" xfId="0" applyFont="1" applyAlignment="1">
      <alignment horizontal="center" vertical="top"/>
    </xf>
    <xf numFmtId="0" fontId="11" fillId="6" borderId="4" xfId="11" applyNumberFormat="1" applyAlignment="1">
      <alignment horizontal="center" vertical="top"/>
    </xf>
    <xf numFmtId="0" fontId="11" fillId="6" borderId="4" xfId="11" applyAlignment="1">
      <alignment horizontal="center"/>
    </xf>
    <xf numFmtId="0" fontId="11" fillId="6" borderId="4" xfId="11" applyNumberFormat="1" applyAlignment="1">
      <alignment horizontal="center"/>
    </xf>
    <xf numFmtId="0" fontId="16" fillId="0" borderId="16" xfId="0" applyFont="1" applyBorder="1"/>
    <xf numFmtId="0" fontId="11" fillId="6" borderId="4" xfId="11" applyAlignment="1">
      <alignment wrapText="1"/>
    </xf>
    <xf numFmtId="0" fontId="11" fillId="6" borderId="4" xfId="11" applyNumberFormat="1" applyAlignment="1">
      <alignment wrapText="1"/>
    </xf>
    <xf numFmtId="0" fontId="11" fillId="6" borderId="4" xfId="11" applyNumberFormat="1" applyAlignment="1">
      <alignment vertical="top" wrapText="1"/>
    </xf>
    <xf numFmtId="0" fontId="11" fillId="6" borderId="4" xfId="11" applyAlignment="1">
      <alignment vertical="top" wrapText="1"/>
    </xf>
    <xf numFmtId="0" fontId="0" fillId="8" borderId="8" xfId="15" applyNumberFormat="1" applyFon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0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outline="0">
        <left style="thin">
          <color rgb="FF7F7F7F"/>
        </left>
      </border>
    </dxf>
    <dxf>
      <numFmt numFmtId="0" formatCode="General"/>
      <alignment horizontal="center" textRotation="0" wrapText="0" indent="0" justifyLastLine="0" shrinkToFit="0" readingOrder="0"/>
    </dxf>
    <dxf>
      <border outline="0">
        <right style="thin">
          <color rgb="FF7F7F7F"/>
        </righ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left style="thin">
          <color rgb="FF7F7F7F"/>
        </left>
      </border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double">
          <color rgb="FFFF8001"/>
        </bottom>
        <vertical/>
        <horizontal/>
      </border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border outline="0">
        <left style="thin">
          <color rgb="FF7F7F7F"/>
        </left>
      </border>
    </dxf>
    <dxf>
      <numFmt numFmtId="0" formatCode="General"/>
      <alignment horizontal="general" vertical="top" textRotation="0" wrapText="1" indent="0" justifyLastLine="0" shrinkToFit="0" readingOrder="0"/>
      <border outline="0">
        <left style="thin">
          <color rgb="FF7F7F7F"/>
        </left>
      </border>
    </dxf>
    <dxf>
      <numFmt numFmtId="0" formatCode="General"/>
      <alignment horizontal="center" textRotation="0" wrapText="0" indent="0" justifyLastLine="0" shrinkToFit="0" readingOrder="0"/>
    </dxf>
    <dxf>
      <border outline="0">
        <right style="thin">
          <color rgb="FF7F7F7F"/>
        </right>
      </border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double">
          <color rgb="FFFF8001"/>
        </bottom>
        <vertical/>
        <horizontal/>
      </border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double">
          <color rgb="FFFF8001"/>
        </bottom>
        <vertical/>
        <horizontal/>
      </border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0" formatCode="General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0" formatCode="General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0" formatCode="General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0" formatCode="General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0" formatCode="General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0" formatCode="General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double">
          <color rgb="FFFF8001"/>
        </bottom>
        <vertical/>
        <horizontal/>
      </border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luke\goorambatsf\scripts\010_stage_2_dynamic_studies-Luke\GESF_Specs_Luke.xlsx" TargetMode="External"/><Relationship Id="rId1" Type="http://schemas.openxmlformats.org/officeDocument/2006/relationships/externalLinkPath" Target="file:///D:\luke\goorambatsf\scripts\010_stage_2_dynamic_studies-Luke\GESF_Specs_Lu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nerator Details"/>
      <sheetName val="Profiles"/>
      <sheetName val="5251"/>
      <sheetName val="5253"/>
      <sheetName val="5254_CUO"/>
      <sheetName val="5254_Withstand"/>
      <sheetName val="5257"/>
      <sheetName val="52511_Fgrid"/>
      <sheetName val="CSR_TOV"/>
      <sheetName val="52513_Vgrid_droop"/>
      <sheetName val="52513_Vgrid_PF"/>
      <sheetName val="52513_Vgrid_Q"/>
      <sheetName val="52513_Vref"/>
      <sheetName val="52513_Qref"/>
      <sheetName val="52513_PFref"/>
      <sheetName val="3212_Fgrid"/>
      <sheetName val="324_325_Faults"/>
      <sheetName val="3211_Pref"/>
      <sheetName val="3210_Vref"/>
      <sheetName val="3210_Qref"/>
      <sheetName val="3210_PFref"/>
      <sheetName val="3210_3214_Vgrid"/>
      <sheetName val="329_TOV"/>
      <sheetName val="3216_PhaseSteps"/>
      <sheetName val="3215_ORT"/>
      <sheetName val="3220_Input_Power"/>
      <sheetName val="3218_3219_SCR_1_Faults"/>
      <sheetName val="3218_3219_POC_SCR_Faults"/>
      <sheetName val="326_MFRT"/>
      <sheetName val="MFRT Sequences"/>
      <sheetName val="MFRT"/>
      <sheetName val="GESF_Specs_Luk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3FFDCC-69FD-4C97-B814-A76F850FC1EC}" name="ParamsTable6" displayName="ParamsTable6" ref="A1:B19" totalsRowShown="0" headerRowDxfId="199">
  <autoFilter ref="A1:B19" xr:uid="{8F3FFDCC-69FD-4C97-B814-A76F850FC1EC}"/>
  <tableColumns count="2">
    <tableColumn id="1" xr3:uid="{E1C3340B-EE79-4EA2-B232-C57F27556F7C}" name="Parameter"/>
    <tableColumn id="2" xr3:uid="{9198D93A-48D0-4D1A-B6FC-D332E7545886}" name="Value" dataDxfId="19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6A49B9-A13F-49B6-B47E-CC6CC654BA7A}" name="Table232" displayName="Table232" ref="A1:X2" totalsRowShown="0" headerRowDxfId="197">
  <autoFilter ref="A1:X2" xr:uid="{74209424-1790-41A2-A751-59C0491FF68E}"/>
  <tableColumns count="24">
    <tableColumn id="1" xr3:uid="{B3A7876E-3CF9-4B82-8DD1-E1F5FA3B02E7}" name="Deliverable" dataCellStyle="Input"/>
    <tableColumn id="2" xr3:uid="{87435F34-EA2E-4B77-B028-62EDE48C256F}" name="Category" dataCellStyle="Input"/>
    <tableColumn id="26" xr3:uid="{3F24CA69-ABB8-407A-B728-E057F1715B1F}" name="Figure Number" dataCellStyle="Input"/>
    <tableColumn id="3" xr3:uid="{82D3A078-F349-43DF-9A47-ADEB4AD6DF80}" name="Clause" dataCellStyle="Input"/>
    <tableColumn id="4" xr3:uid="{726B5C7A-D5B9-4205-BCE5-AB8B8BB161C6}" name="Test No" dataCellStyle="Input"/>
    <tableColumn id="5" xr3:uid="{C535EFA5-5E17-441F-86A7-5A2459FEBE73}" name="Subtest No" dataCellStyle="Input"/>
    <tableColumn id="6" xr3:uid="{7DC804B9-CA6C-4735-8878-695AA5B7B725}" name="File_Name" dataDxfId="196" dataCellStyle="Output">
      <calculatedColumnFormula>Table232[[#This Row],[Deliverable]]&amp;"_"&amp;Table232[[#This Row],[Category]]&amp;"_"&amp;TEXT(E2,"000")</calculatedColumnFormula>
    </tableColumn>
    <tableColumn id="27" xr3:uid="{6CB20128-A577-4188-A398-D69CEDC537EA}" name="Steps_Per_Write" dataDxfId="195" dataCellStyle="Output"/>
    <tableColumn id="7" xr3:uid="{2393F64B-4032-4E4A-857A-53E9A5FCC40C}" name="PSSE" dataCellStyle="Input"/>
    <tableColumn id="8" xr3:uid="{9DDECEBB-595B-43BD-9B4A-22AF4C53D2EC}" name="PSCAD" dataCellStyle="Input"/>
    <tableColumn id="9" xr3:uid="{DCB6728C-ACF3-424F-8FE4-14F29CA8D94B}" name="Grid_SCR" dataDxfId="194" dataCellStyle="Input">
      <calculatedColumnFormula>Table232[[#This Row],[Grid_FL_MVA_sig]]/250</calculatedColumnFormula>
    </tableColumn>
    <tableColumn id="10" xr3:uid="{C30410C9-F839-473D-A4C2-77200800D175}" name="Grid_FL_MVA_sig" dataDxfId="193" dataCellStyle="Input"/>
    <tableColumn id="11" xr3:uid="{3BC2336C-7559-49DE-8B1D-A151BB29B848}" name="Grid_X2R_sig" dataCellStyle="Input"/>
    <tableColumn id="12" xr3:uid="{49B09A5B-385A-404D-B5A1-5E12B154F122}" name="Vpoc_pu_sig" dataDxfId="192" dataCellStyle="Input"/>
    <tableColumn id="13" xr3:uid="{4F6D0BA1-04E1-4FD4-857E-0C254A17298B}" name="Qpoc_pu" dataCellStyle="Input"/>
    <tableColumn id="14" xr3:uid="{56B94D13-5F5A-4217-8344-1FC1CA2C3301}" name="Qpoc_MVAr_sig" dataDxfId="191" dataCellStyle="Input"/>
    <tableColumn id="15" xr3:uid="{05507A10-4892-4A3E-94CE-C516FE258FAD}" name="Vref_init" dataDxfId="190" dataCellStyle="Input"/>
    <tableColumn id="16" xr3:uid="{EEFF7AF9-AF3E-43E2-A8C3-2BA565D92D34}" name="Ppoc_pu" dataCellStyle="Input"/>
    <tableColumn id="17" xr3:uid="{8C57BFB9-AA3C-4D08-8636-A8C63EE33BE7}" name="Ppoc_MW_sig" dataDxfId="189" dataCellStyle="Input"/>
    <tableColumn id="19" xr3:uid="{082AFE6D-A625-4D8A-A4A3-182089631A40}" name="PSSE Commands" dataDxfId="188" dataCellStyle="Calculation"/>
    <tableColumn id="20" xr3:uid="{B0361C01-4A12-4A32-A9D4-0CCA99CD1624}" name="Post_Init_Duration_s" dataCellStyle="Input"/>
    <tableColumn id="22" xr3:uid="{988325E9-52B8-4214-8459-4366FBBDA9C3}" name="Model_Relpath" dataDxfId="187" dataCellStyle="Note"/>
    <tableColumn id="23" xr3:uid="{FA97A65C-FB2C-4D09-A03F-494733F9B3A5}" name="Vpoc_disturbance_pu_sig"/>
    <tableColumn id="24" xr3:uid="{D961078C-A32A-4FDC-89F3-695B3D956D8D}" name="U_Ov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7F3DFD-B86D-413F-8D61-44D954961C41}" name="Table17354" displayName="Table17354" ref="A1:AJ41" totalsRowShown="0" headerRowDxfId="186">
  <autoFilter ref="A1:AJ41" xr:uid="{3F7F7FD9-4A8B-4682-BBB4-299867C7B7C2}"/>
  <tableColumns count="36">
    <tableColumn id="23" xr3:uid="{3E96A63A-A495-4EED-BB6E-AA1BB6882219}" name="Deliverable" totalsRowDxfId="185" dataCellStyle="Input"/>
    <tableColumn id="22" xr3:uid="{19B3B055-9859-42B7-9C6A-9FB45F02795B}" name="Category" totalsRowDxfId="184" dataCellStyle="Input">
      <calculatedColumnFormula>IF(Table17354[[#This Row],[Fault_Type_sig]]=7,"Balanced Faults",IF(Table17354[[#This Row],[Fault_Type_sig]]=4,"Unbalanced Faults","Plant Trip"))</calculatedColumnFormula>
    </tableColumn>
    <tableColumn id="2" xr3:uid="{7D0A9342-505B-4E30-BB8B-69A817750775}" name="Model Name" totalsRowDxfId="183" dataCellStyle="Input"/>
    <tableColumn id="3" xr3:uid="{C645FBE6-9CF9-42E4-B12C-52A97A985711}" name="Test No" totalsRowDxfId="182" dataCellStyle="Input"/>
    <tableColumn id="4" xr3:uid="{A88D13F9-0BF6-42F3-B4AC-907D468BE740}" name="Subtest No" totalsRowDxfId="181" dataCellStyle="Input"/>
    <tableColumn id="36" xr3:uid="{7A1943F0-B524-48A4-8307-6A1978B3B08F}" name="Case" totalsRowDxfId="180" dataCellStyle="Input"/>
    <tableColumn id="5" xr3:uid="{6E3B6A6B-82D9-492A-A105-C5C04B681024}" name="File_Name" dataDxfId="179" dataCellStyle="Output">
      <calculatedColumnFormula>C2&amp;"_"&amp;TEXT(D2,"000")&amp;IF(E2="","","p"&amp;E2)</calculatedColumnFormula>
    </tableColumn>
    <tableColumn id="27" xr3:uid="{3E87B215-7CAB-46E6-8A78-B7AA7C570598}" name="Steps_Per_Write" dataDxfId="178" totalsRowDxfId="177" dataCellStyle="Output"/>
    <tableColumn id="6" xr3:uid="{9235F68D-9B86-4B54-AE95-299E42A677A0}" name="PSSE" totalsRowDxfId="176" dataCellStyle="Input"/>
    <tableColumn id="7" xr3:uid="{B978D826-83B5-4DA2-9AE8-C22D61B3ECB5}" name="PSCAD" totalsRowDxfId="175" dataCellStyle="Input"/>
    <tableColumn id="9" xr3:uid="{6433A5E2-8625-4D1F-A805-006A55E46603}" name="NEAR" totalsRowDxfId="174" dataCellStyle="Input"/>
    <tableColumn id="10" xr3:uid="{AAD60F48-2EF6-445D-827C-F4D325161FC4}" name="FAR" totalsRowDxfId="173" dataCellStyle="Input"/>
    <tableColumn id="34" xr3:uid="{815CAE59-2636-4595-9ED3-680FF9D52314}" name="CB FAIL" totalsRowDxfId="172" dataCellStyle="Input"/>
    <tableColumn id="33" xr3:uid="{2A8385BD-B205-4E47-B1AC-244C100F1C02}" name="CB FAIL SCENARIO" totalsRowDxfId="171" dataCellStyle="Input"/>
    <tableColumn id="11" xr3:uid="{7DA2B388-C891-4F96-8177-06FB9F89426B}" name="RECLOSE" totalsRowDxfId="170" dataCellStyle="Input"/>
    <tableColumn id="24" xr3:uid="{DC9FA73A-C2FE-40FF-A3F1-46D4B71CD91C}" name="Fault_Type_sig" totalsRowDxfId="169" dataCellStyle="Input"/>
    <tableColumn id="12" xr3:uid="{5FCF7CA9-2FE8-4601-ABEB-0AC72BD4AEEA}" name="Fault_Time_sig" totalsRowDxfId="168" dataCellStyle="Input"/>
    <tableColumn id="13" xr3:uid="{78CE72D8-15EF-42B4-B9A7-A461EB18067A}" name="Fault_Duration_sig" totalsRowDxfId="167" dataCellStyle="Input">
      <calculatedColumnFormula>IF(Table17354[[#This Row],[CB FAIL SCENARIO]],MAX(Table17354[[#This Row],[NEAR]:[CB FAIL]]),MAX(Table17354[[#This Row],[NEAR]:[FAR]]))</calculatedColumnFormula>
    </tableColumn>
    <tableColumn id="18" xr3:uid="{0E074FAB-F1CC-49ED-99EB-A17D0A102158}" name="Ures_sig" totalsRowDxfId="166" dataCellStyle="Input"/>
    <tableColumn id="16" xr3:uid="{1E0D6454-32DB-4FB7-BBBF-F69A8B507EC7}" name="Zf2Zs_sig" totalsRowDxfId="165" dataCellStyle="Input"/>
    <tableColumn id="15" xr3:uid="{B0B66D71-803C-40AF-98CD-C6CC200DAF28}" name="Rf_Offset_sig" totalsRowDxfId="164" dataCellStyle="Input"/>
    <tableColumn id="14" xr3:uid="{C8FCDD14-E195-42F5-B119-020F196591D8}" name="Xf_Offset_sig" totalsRowDxfId="163" dataCellStyle="Input"/>
    <tableColumn id="26" xr3:uid="{84958F05-A160-4925-8054-6B7D44C3846C}" name="Fault_X2R_sig" totalsRowDxfId="162" dataCellStyle="Input"/>
    <tableColumn id="25" xr3:uid="{51C07388-79AB-4A8A-BA8E-36375062BE40}" name="Distance" dataDxfId="161" totalsRowDxfId="160" dataCellStyle="Input"/>
    <tableColumn id="8" xr3:uid="{51AC3C0F-A51F-44C5-9F1E-1CC9B38C3103}" name="Generator Connected" totalsRowDxfId="159" dataCellStyle="Input"/>
    <tableColumn id="1" xr3:uid="{D176A94C-FE87-4D69-A012-3439879D2DBF}" name="Generator Disconnected" totalsRowDxfId="158" dataCellStyle="Input"/>
    <tableColumn id="29" xr3:uid="{8EBBE586-AEA0-498C-B266-90ACD01937CD}" name="Fault_Timing_Signal_sig" dataDxfId="157" totalsRowDxfId="156" dataCellStyle="Input">
      <calculatedColumnFormula>"0, AT "&amp;(Table17354[[#This Row],[Fault_Time_sig]])&amp;"s ↑ 1, at "&amp;(Table17354[[#This Row],[Fault_Time_sig]]+Table17354[[#This Row],[Fault_Duration_sig]])&amp;"s ↓ 0"</calculatedColumnFormula>
    </tableColumn>
    <tableColumn id="17" xr3:uid="{8039C4AE-984D-4239-864F-CA5633F07FDF}" name="PSSE Commands" dataDxfId="155" dataCellStyle="Output">
      <calculatedColumnFormula>"TRIP BRANCH 'SHTS220_GESF220|NEAR AT "&amp;Table17354[[#This Row],[NEAR]]+Table17354[[#This Row],[Fault_Time_sig]]&amp;"s;
TRIP BRANCH 'SHTS220_GESF220|FAR AT "&amp;Table17354[[#This Row],[FAR]]+Table17354[[#This Row],[Fault_Time_sig]]&amp;"s;
RESTORE BRANCH 'SHTS220_GESF220|NEAR AT "&amp;Table17354[[#This Row],[NEAR]]+Table17354[[#This Row],[RECLOSE]]+Table17354[[#This Row],[Fault_Time_sig]]&amp;"s;
RESTORE BRANCH 'SHTS220_GESF220|FAR AT "&amp;Table17354[[#This Row],[NEAR]]+Table17354[[#This Row],[RECLOSE]]+Table17354[[#This Row],[Fault_Time_sig]]&amp;"s;
APPLY FAULT TO BRANCH 'SHTS220_GESF220' AT "&amp;Table17354[[#This Row],[Fault_Time_sig]]&amp;"s WITH "
&amp;"TYPE="&amp;Table17354[[#This Row],[Fault_Type_sig]]
&amp;IF(Table17354[[#This Row],[Zf2Zs_sig]]="","",", ZF2ZS="&amp;Table17354[[#This Row],[Zf2Zs_sig]])
&amp;IF(Table17354[[#This Row],[Ures_sig]]="","",", URES_PU="&amp;Table17354[[#This Row],[Ures_sig]])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</calculatedColumnFormula>
    </tableColumn>
    <tableColumn id="19" xr3:uid="{F637BD0C-B6BE-464E-9F46-410D150824E5}" name="Post_Init_Duration_s" dataDxfId="154" totalsRowDxfId="153" dataCellStyle="Output"/>
    <tableColumn id="20" xr3:uid="{DB405E83-F874-4DDF-8883-5D7525FE094E}" name="Vslack_pu_sig" totalsRowDxfId="152" dataCellStyle="Note"/>
    <tableColumn id="21" xr3:uid="{F43C613F-AB02-4C7D-B78D-B3D4AF75CB75}" name="Model_Relpath" totalsRowDxfId="151" dataCellStyle="Note"/>
    <tableColumn id="30" xr3:uid="{7371C6E8-1D3F-45A2-B723-D0DD53BE0B9B}" name="Original" dataDxfId="150" dataCellStyle="Note">
      <calculatedColumnFormula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calculatedColumnFormula>
    </tableColumn>
    <tableColumn id="35" xr3:uid="{5544D185-63CC-429C-AF50-ABDDF2C17E2C}" name="Comment" dataDxfId="149" dataCellStyle="Note"/>
    <tableColumn id="28" xr3:uid="{A380C2A0-A98D-4DA8-B8C8-088B0939517F}" name="Schemes" dataDxfId="148">
      <calculatedColumnFormula>"TRIP BRANCH 'DEDTXDUMMY|NEAR' AT "&amp;10+Table17354[[#This Row],[Fault_Time_sig]]&amp;"s;
TRIP BRANCH 'DEDTXDUMMY|FAR' AT "&amp;10+Table17354[[#This Row],[Fault_Time_sig]]&amp;"s;
TRIP BRANCH 'DEDTXDUMMY2|NEAR' AT "&amp;10+Table17354[[#This Row],[Fault_Time_sig]]&amp;"s;
TRIP BRANCH 'DEDTXDUMMY2|FAR' AT "&amp;10+Table17354[[#This Row],[Fault_Time_sig]]&amp;"s;
TRIP BRANCH 'DED330_MUR330No2|NEAR' AT "&amp;10+Table17354[[#This Row],[Fault_Time_sig]]&amp;"s;
TRIP BRANCH 'DED330_MUR330No2|FAR' AT "&amp;10+Table17354[[#This Row],[Fault_Time_sig]]&amp;"s"</calculatedColumnFormula>
    </tableColumn>
    <tableColumn id="31" xr3:uid="{3C7D8A0B-789C-4F9D-8932-BF6360F1E5C9}" name="Schemes2" dataDxfId="147">
      <calculatedColumnFormula>"TRIP MACHINE 'WBTSG1' AT "&amp;0.2+Table17354[[#This Row],[Fault_Time_sig]]&amp;"s;
TRIP MACHINE 'WBTSG2' AT "&amp;0.2+Table17354[[#This Row],[Fault_Time_sig]]&amp;"s;
TRIP MACHINE 'WBTSG3' AT "&amp;0.2+Table17354[[#This Row],[Fault_Time_sig]]&amp;"s;
TRIP MACHINE 'WBTSG4' AT "&amp;0.2+Table17354[[#This Row],[Fault_Time_sig]]&amp;"s;
TRIP MACHINE 'WBTSG5' AT "&amp;0.2+Table17354[[#This Row],[Fault_Time_sig]]&amp;"s"</calculatedColumnFormula>
    </tableColumn>
    <tableColumn id="32" xr3:uid="{2F998883-95FA-4A8B-9200-AD289E2A6473}" name="Schemes3" dataDxfId="146">
      <calculatedColumnFormula>"TRIP MACHINE 'CROW' AT "&amp;0.18+Table17354[[#This Row],[Fault_Time_sig]]&amp;"s;
TRIP MACHINE 'BULGG1' AT "&amp;0.18+Table17354[[#This Row],[Fault_Time_sig]]&amp;"s;
TRIP MACHINE 'BULGG2' AT "&amp;0.18+Table17354[[#This Row],[Fault_Time_sig]]&amp;"s;
TRIP MACHINE 'BULGBESS' AT "&amp;0.18+Table17354[[#This Row],[Fault_Time_sig]]&amp;"s"</calculatedColumnFormula>
    </tableColumn>
  </tableColumns>
  <tableStyleInfo name="TableStyleLight15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117017-0FC5-4C33-97AB-2EA3B7C27AC9}" name="Table17357" displayName="Table17357" ref="A1:AJ41" totalsRowShown="0" headerRowDxfId="145">
  <autoFilter ref="A1:AJ41" xr:uid="{3F7F7FD9-4A8B-4682-BBB4-299867C7B7C2}"/>
  <tableColumns count="36">
    <tableColumn id="23" xr3:uid="{548C3AA1-6AD4-49FF-8164-60ED596C7D32}" name="Deliverable" totalsRowDxfId="144" dataCellStyle="Input"/>
    <tableColumn id="22" xr3:uid="{73B3488B-3148-4860-B5E6-271E64D9624D}" name="Category" totalsRowDxfId="143" dataCellStyle="Input">
      <calculatedColumnFormula>IF(Table17357[[#This Row],[Fault_Type_sig]]=7,"Balanced Faults",IF(Table17357[[#This Row],[Fault_Type_sig]]=4,"Unbalanced Faults","Plant Trip"))</calculatedColumnFormula>
    </tableColumn>
    <tableColumn id="2" xr3:uid="{FC03D157-9CC8-40BA-96AA-258D49C082AB}" name="Model Name" totalsRowDxfId="142" dataCellStyle="Input"/>
    <tableColumn id="3" xr3:uid="{05E771CD-4767-4BA4-A05F-8E0391D56467}" name="Test No" totalsRowDxfId="141" dataCellStyle="Input"/>
    <tableColumn id="4" xr3:uid="{0A450C04-FCCC-4C2D-AF0F-66E5D972F000}" name="Subtest No" totalsRowDxfId="140" dataCellStyle="Input"/>
    <tableColumn id="36" xr3:uid="{87A1C7E8-089C-46E9-A400-B077C28ABBC2}" name="Case" totalsRowDxfId="139" dataCellStyle="Input"/>
    <tableColumn id="5" xr3:uid="{602BE099-87D2-4EF3-9074-6F2A87311AC3}" name="File_Name" dataDxfId="138" totalsRowDxfId="137" dataCellStyle="Output">
      <calculatedColumnFormula>C2&amp;"_"&amp;TEXT(D2,"000")</calculatedColumnFormula>
    </tableColumn>
    <tableColumn id="27" xr3:uid="{7834EBFC-65E6-4EA7-8059-F075BD4C2DCE}" name="Steps_Per_Write" dataDxfId="136" totalsRowDxfId="135" dataCellStyle="Output"/>
    <tableColumn id="6" xr3:uid="{19F4EAFB-BE72-4461-864F-A9E41A980822}" name="PSSE" totalsRowDxfId="134" dataCellStyle="Input"/>
    <tableColumn id="7" xr3:uid="{CC5F563F-6C92-4618-A283-EB2468EEB862}" name="PSCAD" totalsRowDxfId="133" dataCellStyle="Input"/>
    <tableColumn id="9" xr3:uid="{28567434-35C9-415A-B4ED-E8B48F95CB2F}" name="NEAR" totalsRowDxfId="132" dataCellStyle="Input"/>
    <tableColumn id="10" xr3:uid="{E9E9B551-F184-44B0-B0F7-AABB52F9638F}" name="FAR" totalsRowDxfId="131" dataCellStyle="Input"/>
    <tableColumn id="34" xr3:uid="{8AA4E486-E5C1-43C1-8D94-BA269FFEF197}" name="CB FAIL" totalsRowDxfId="130" dataCellStyle="Input"/>
    <tableColumn id="33" xr3:uid="{AE8939F6-F763-44CD-92DD-5E795EBD0EFE}" name="CB FAIL SCENARIO" totalsRowDxfId="129" dataCellStyle="Input"/>
    <tableColumn id="11" xr3:uid="{7F0F5A35-7F0F-4646-85D2-D8DB90AD7560}" name="RECLOSE" totalsRowDxfId="128" dataCellStyle="Input"/>
    <tableColumn id="24" xr3:uid="{5C792A8C-C632-42E7-ACF4-3F0AC992133F}" name="Fault_Type_sig" totalsRowDxfId="127" dataCellStyle="Input"/>
    <tableColumn id="12" xr3:uid="{06E00308-68E7-4F69-8A3F-25FBB150BE5F}" name="Fault_Time_sig" totalsRowDxfId="126" dataCellStyle="Input"/>
    <tableColumn id="13" xr3:uid="{228AEC76-F72A-4C35-BF76-D2DB43166608}" name="Fault_Duration_sig" totalsRowDxfId="125" dataCellStyle="Input">
      <calculatedColumnFormula>IF(Table17357[[#This Row],[CB FAIL SCENARIO]],MAX(Table17357[[#This Row],[NEAR]:[CB FAIL]]),MAX(Table17357[[#This Row],[NEAR]:[FAR]]))</calculatedColumnFormula>
    </tableColumn>
    <tableColumn id="18" xr3:uid="{7DBA4A96-000B-46C2-87BD-4950310BF872}" name="Ures_sig" totalsRowDxfId="124" dataCellStyle="Input"/>
    <tableColumn id="16" xr3:uid="{54989C2E-AE22-4802-9045-E71171FE9A9C}" name="Zf2Zs_sig" totalsRowDxfId="123" dataCellStyle="Input"/>
    <tableColumn id="15" xr3:uid="{BF201468-B4E2-4249-99A0-3DD0C80B0538}" name="Rf_Offset_sig" totalsRowDxfId="122" dataCellStyle="Input"/>
    <tableColumn id="14" xr3:uid="{2CE1F9E5-94F4-46DE-9F2A-CE7B3870858B}" name="Xf_Offset_sig" totalsRowDxfId="121" dataCellStyle="Input"/>
    <tableColumn id="26" xr3:uid="{0929ABB1-8B99-4C32-9EA3-6C7118824A12}" name="Fault_X2R_sig" totalsRowDxfId="120" dataCellStyle="Input"/>
    <tableColumn id="25" xr3:uid="{3603214A-C74F-40B6-BBB9-D17CBD770859}" name="Distance" dataDxfId="119" totalsRowDxfId="118" dataCellStyle="Input"/>
    <tableColumn id="8" xr3:uid="{3250194B-DC2A-413F-9340-2CAE11BAC95E}" name="Generator Connected" totalsRowDxfId="117" dataCellStyle="Input"/>
    <tableColumn id="1" xr3:uid="{AB87DF0F-6C85-4A65-83E1-D1CB02966024}" name="Generator Disconnected" totalsRowDxfId="116" dataCellStyle="Input"/>
    <tableColumn id="29" xr3:uid="{1AD55B99-65E7-4DCF-96D8-9CBC0BB3FD11}" name="Fault_Timing_Signal_sig" dataDxfId="115" totalsRowDxfId="114" dataCellStyle="Input">
      <calculatedColumnFormula>"0, AT "&amp;(Table17357[[#This Row],[Fault_Time_sig]])&amp;"s ↑ 1, at "&amp;(Table17357[[#This Row],[Fault_Time_sig]]+Table17357[[#This Row],[Fault_Duration_sig]])&amp;"s ↓ 0"</calculatedColumnFormula>
    </tableColumn>
    <tableColumn id="17" xr3:uid="{96836388-510D-4AC3-BC4B-066D5DA8B09C}" name="PSSE Commands" dataDxfId="113" dataCellStyle="Output">
      <calculatedColumnFormula>"TRIP BRANCH 'SHTS220_GESF220|NEAR AT "&amp;Table17357[[#This Row],[NEAR]]+Table17357[[#This Row],[Fault_Time_sig]]&amp;"s;
TRIP BRANCH 'SHTS220_GESF220|FAR AT "&amp;Table17357[[#This Row],[FAR]]+Table17357[[#This Row],[Fault_Time_sig]]&amp;"s;
RESTORE BRANCH 'SHTS220_GESF220|NEAR AT "&amp;Table17357[[#This Row],[NEAR]]+Table17357[[#This Row],[RECLOSE]]+Table17357[[#This Row],[Fault_Time_sig]]&amp;"s;
RESTORE BRANCH 'SHTS220_GESF220|FAR AT "&amp;Table17357[[#This Row],[NEAR]]+Table17357[[#This Row],[RECLOSE]]+Table17357[[#This Row],[Fault_Time_sig]]&amp;"s;
APPLY FAULT TO BRANCH 'SHTS220_GESF220' AT "&amp;Table17357[[#This Row],[Fault_Time_sig]]&amp;"s WITH "
&amp;"TYPE="&amp;Table17357[[#This Row],[Fault_Type_sig]]
&amp;IF(Table17357[[#This Row],[Zf2Zs_sig]]="","",", ZF2ZS="&amp;Table17357[[#This Row],[Zf2Zs_sig]])
&amp;IF(Table17357[[#This Row],[Ures_sig]]="","",", URES_PU="&amp;Table17357[[#This Row],[Ures_sig]])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</calculatedColumnFormula>
    </tableColumn>
    <tableColumn id="19" xr3:uid="{31E595A8-D747-4DE6-B507-D892CDEEA6B1}" name="Post_Init_Duration_s" dataDxfId="112" totalsRowDxfId="111" dataCellStyle="Output"/>
    <tableColumn id="20" xr3:uid="{461B3C4D-5F19-408E-9682-65786B61A19B}" name="Vslack_pu_sig" totalsRowDxfId="110" dataCellStyle="Note"/>
    <tableColumn id="21" xr3:uid="{F928CBF3-CC3F-4281-921A-23D50A43FCCC}" name="Model_Relpath" totalsRowDxfId="109" dataCellStyle="Note"/>
    <tableColumn id="30" xr3:uid="{2EEDBE3D-0D46-4637-AD11-F6AB2E7F99D0}" name="Original" dataDxfId="108" dataCellStyle="Note">
      <calculatedColumnFormula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calculatedColumnFormula>
    </tableColumn>
    <tableColumn id="35" xr3:uid="{8FA5A90B-C8A7-459C-8A05-01BEF455AC09}" name="Comment" dataDxfId="107" dataCellStyle="Note"/>
    <tableColumn id="28" xr3:uid="{5F0DE1C0-CACE-4D60-B4B1-53417965CE77}" name="Schemes" dataDxfId="106">
      <calculatedColumnFormula>"TRIP BRANCH 'DEDTXDUMMY|NEAR' AT "&amp;10+Table17357[[#This Row],[Fault_Time_sig]]&amp;"s;
TRIP BRANCH 'DEDTXDUMMY|FAR' AT "&amp;10+Table17357[[#This Row],[Fault_Time_sig]]&amp;"s;
TRIP BRANCH 'DEDTXDUMMY2|NEAR' AT "&amp;10+Table17357[[#This Row],[Fault_Time_sig]]&amp;"s;
TRIP BRANCH 'DEDTXDUMMY2|FAR' AT "&amp;10+Table17357[[#This Row],[Fault_Time_sig]]&amp;"s;
TRIP BRANCH 'DED330_MUR330No2|NEAR' AT "&amp;10+Table17357[[#This Row],[Fault_Time_sig]]&amp;"s;
TRIP BRANCH 'DED330_MUR330No2|FAR' AT "&amp;10+Table17357[[#This Row],[Fault_Time_sig]]&amp;"s"</calculatedColumnFormula>
    </tableColumn>
    <tableColumn id="31" xr3:uid="{8EAC6453-4ABE-4DD3-BE8E-1AA3844EC8BF}" name="Schemes2" dataDxfId="105">
      <calculatedColumnFormula>"TRIP MACHINE 'WBTSG1' AT "&amp;0.2+Table17357[[#This Row],[Fault_Time_sig]]&amp;"s;
TRIP MACHINE 'WBTSG2' AT "&amp;0.2+Table17357[[#This Row],[Fault_Time_sig]]&amp;"s;
TRIP MACHINE 'WBTSG3' AT "&amp;0.2+Table17357[[#This Row],[Fault_Time_sig]]&amp;"s;
TRIP MACHINE 'WBTSG4' AT "&amp;0.2+Table17357[[#This Row],[Fault_Time_sig]]&amp;"s;
TRIP MACHINE 'WBTSG5' AT "&amp;0.2+Table17357[[#This Row],[Fault_Time_sig]]&amp;"s"</calculatedColumnFormula>
    </tableColumn>
    <tableColumn id="32" xr3:uid="{33D545BC-33DD-4C40-8500-C4CCEDDDA09A}" name="Schemes3" dataDxfId="104">
      <calculatedColumnFormula>"TRIP MACHINE 'CROW' AT "&amp;0.18+Table17357[[#This Row],[Fault_Time_sig]]&amp;"s;
TRIP MACHINE 'BULGG1' AT "&amp;0.18+Table17357[[#This Row],[Fault_Time_sig]]&amp;"s;
TRIP MACHINE 'BULGG2' AT "&amp;0.18+Table17357[[#This Row],[Fault_Time_sig]]&amp;"s;
TRIP MACHINE 'BULGBESS' AT "&amp;0.18+Table17357[[#This Row],[Fault_Time_sig]]&amp;"s"</calculatedColumnFormula>
    </tableColumn>
  </tableColumns>
  <tableStyleInfo name="TableStyleLight15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7761A5-69CF-4456-A5C2-4CA1F1D2124E}" name="Table1735" displayName="Table1735" ref="A1:AJ41" totalsRowShown="0" headerRowDxfId="103">
  <autoFilter ref="A1:AJ41" xr:uid="{3F7F7FD9-4A8B-4682-BBB4-299867C7B7C2}"/>
  <tableColumns count="36">
    <tableColumn id="23" xr3:uid="{8879E65B-98FC-4F4E-A420-751DBCB89052}" name="Deliverable" totalsRowDxfId="102" dataCellStyle="Input"/>
    <tableColumn id="22" xr3:uid="{9A4C6E03-D6C0-4191-95EE-9DBC57676EB0}" name="Category" totalsRowDxfId="101" dataCellStyle="Input">
      <calculatedColumnFormula>IF(Table1735[[#This Row],[Fault_Type_sig]]=7,"Balanced Faults",IF(Table1735[[#This Row],[Fault_Type_sig]]=4,"Unbalanced Faults","Plant Trip"))</calculatedColumnFormula>
    </tableColumn>
    <tableColumn id="2" xr3:uid="{A413D8F7-B073-44A2-8BA8-FBC53DD375CC}" name="Model Name" totalsRowDxfId="100" dataCellStyle="Input"/>
    <tableColumn id="3" xr3:uid="{82ABE524-C525-4B83-8B9F-1AB89EAF1FFE}" name="Test No" totalsRowDxfId="99" dataCellStyle="Input"/>
    <tableColumn id="4" xr3:uid="{714EB3CF-5A7A-43F8-BFAD-5A1D492CF573}" name="Subtest No" totalsRowDxfId="98" dataCellStyle="Input"/>
    <tableColumn id="36" xr3:uid="{877A0D3F-48F3-4E0A-84FF-BE3540B51EA3}" name="Case" totalsRowDxfId="97" dataCellStyle="Input"/>
    <tableColumn id="5" xr3:uid="{E5342BDA-E6A9-4204-BC06-AA4E4C1C5971}" name="File_Name" dataDxfId="96" totalsRowDxfId="95" dataCellStyle="Output">
      <calculatedColumnFormula>C2&amp;"_"&amp;TEXT(D2,"000")</calculatedColumnFormula>
    </tableColumn>
    <tableColumn id="27" xr3:uid="{EA84CE40-7A13-478A-89CA-6C514C67920A}" name="Steps_Per_Write" dataDxfId="94" totalsRowDxfId="93" dataCellStyle="Output"/>
    <tableColumn id="6" xr3:uid="{D468E258-A7AD-47CD-8741-75BC4CA546AA}" name="PSSE" totalsRowDxfId="92" dataCellStyle="Input"/>
    <tableColumn id="7" xr3:uid="{8DD69F85-2C2A-417C-8C74-7115D0CF1A78}" name="PSCAD" totalsRowDxfId="91" dataCellStyle="Input"/>
    <tableColumn id="9" xr3:uid="{82D1BA1F-0619-4ED9-9444-9C2253B30BE5}" name="NEAR" totalsRowDxfId="90" dataCellStyle="Input"/>
    <tableColumn id="10" xr3:uid="{4745A4D7-072D-49B7-94E1-DD178B8330F4}" name="FAR" totalsRowDxfId="89" dataCellStyle="Input"/>
    <tableColumn id="34" xr3:uid="{3AC48C3E-9E63-49C4-B903-5F031AC30E4E}" name="CB FAIL" totalsRowDxfId="88" dataCellStyle="Input"/>
    <tableColumn id="33" xr3:uid="{E6FF61B3-9FE4-45A0-AF64-E547F70B491A}" name="CB FAIL SCENARIO" totalsRowDxfId="87" dataCellStyle="Input"/>
    <tableColumn id="11" xr3:uid="{036D9529-2DA2-440E-BB20-AC80355C990C}" name="RECLOSE" totalsRowDxfId="86" dataCellStyle="Input"/>
    <tableColumn id="24" xr3:uid="{89571A8F-B002-4F7D-945A-B3720202501D}" name="Fault_Type_sig" totalsRowDxfId="85" dataCellStyle="Input"/>
    <tableColumn id="12" xr3:uid="{1267DC3B-4A4B-4339-8038-A235D7BB59E8}" name="Fault_Time_sig" totalsRowDxfId="84" dataCellStyle="Input"/>
    <tableColumn id="13" xr3:uid="{258D7E7E-7471-47CD-9B17-5C6B6B67D7B8}" name="Fault_Duration_sig" totalsRowDxfId="83" dataCellStyle="Input">
      <calculatedColumnFormula>IF(Table1735[[#This Row],[CB FAIL SCENARIO]],MAX(Table1735[[#This Row],[NEAR]:[CB FAIL]]),MAX(Table1735[[#This Row],[NEAR]:[FAR]]))</calculatedColumnFormula>
    </tableColumn>
    <tableColumn id="18" xr3:uid="{AA2C2466-9933-42F4-847F-B0FC359ADE1B}" name="Ures_sig" totalsRowDxfId="82" dataCellStyle="Input"/>
    <tableColumn id="16" xr3:uid="{493FCEA2-29FA-43F4-8D48-9C31ACE2ED77}" name="Zf2Zs_sig" totalsRowDxfId="81" dataCellStyle="Input"/>
    <tableColumn id="15" xr3:uid="{3F8EB99E-9084-4CFF-A2F3-8D2DDBAE9CC7}" name="Rf_Offset_sig" totalsRowDxfId="80" dataCellStyle="Input"/>
    <tableColumn id="14" xr3:uid="{4AF0188E-AA2D-49E2-9241-534EA9A8139E}" name="Xf_Offset_sig" totalsRowDxfId="79" dataCellStyle="Input"/>
    <tableColumn id="26" xr3:uid="{89823826-B831-4763-8010-18752F32F971}" name="Fault_X2R_sig" totalsRowDxfId="78" dataCellStyle="Input"/>
    <tableColumn id="25" xr3:uid="{96EB2F62-2F4A-44BF-9097-AA3BCFCE6BE4}" name="Distance" dataDxfId="77" totalsRowDxfId="76" dataCellStyle="Input"/>
    <tableColumn id="8" xr3:uid="{13570990-C6FE-43C4-969E-0F647943C506}" name="Generator Connected" totalsRowDxfId="75" dataCellStyle="Input"/>
    <tableColumn id="1" xr3:uid="{86681A23-CB5B-4708-8AB4-4A6D04F5651A}" name="Generator Disconnected" totalsRowDxfId="74" dataCellStyle="Input"/>
    <tableColumn id="29" xr3:uid="{96ADC72C-165E-49C9-88E7-CBDC272B3AEE}" name="Fault_Timing_Signal_sig" dataDxfId="73" totalsRowDxfId="72" dataCellStyle="Input">
      <calculatedColumnFormula>"0, AT "&amp;(Table1735[[#This Row],[Fault_Time_sig]])&amp;"s ↑ 1, at "&amp;(Table1735[[#This Row],[Fault_Time_sig]]+Table1735[[#This Row],[Fault_Duration_sig]])&amp;"s ↓ 0"</calculatedColumnFormula>
    </tableColumn>
    <tableColumn id="17" xr3:uid="{C400CCF0-C829-49B2-9356-97E26FF714DA}" name="PSSE Commands" dataDxfId="71" dataCellStyle="Output">
      <calculatedColumnFormula>"TRIP BRANCH 'SHTS220_GESF220|NEAR AT "&amp;Table1735[[#This Row],[NEAR]]+Table1735[[#This Row],[Fault_Time_sig]]&amp;"s;
TRIP BRANCH 'SHTS220_GESF220|FAR AT "&amp;Table1735[[#This Row],[FAR]]+Table1735[[#This Row],[Fault_Time_sig]]&amp;"s;
RESTORE BRANCH 'SHTS220_GESF220|NEAR AT "&amp;Table1735[[#This Row],[NEAR]]+Table1735[[#This Row],[RECLOSE]]+Table1735[[#This Row],[Fault_Time_sig]]&amp;"s;
RESTORE BRANCH 'SHTS220_GESF220|FAR AT "&amp;Table1735[[#This Row],[NEAR]]+Table1735[[#This Row],[RECLOSE]]+Table1735[[#This Row],[Fault_Time_sig]]&amp;"s;
APPLY FAULT TO BRANCH 'SHTS220_GESF220' AT "&amp;Table1735[[#This Row],[Fault_Time_sig]]&amp;"s WITH "
&amp;"TYPE="&amp;Table1735[[#This Row],[Fault_Type_sig]]
&amp;IF(Table1735[[#This Row],[Zf2Zs_sig]]="","",", ZF2ZS="&amp;Table1735[[#This Row],[Zf2Zs_sig]])
&amp;IF(Table1735[[#This Row],[Ures_sig]]="","",", URES_PU="&amp;Table1735[[#This Row],[Ures_sig]])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</calculatedColumnFormula>
    </tableColumn>
    <tableColumn id="19" xr3:uid="{94B7D8CA-6970-445A-95EA-6124132FAD86}" name="Post_Init_Duration_s" dataDxfId="70" totalsRowDxfId="69" dataCellStyle="Output"/>
    <tableColumn id="20" xr3:uid="{ECF6EEC9-2948-497C-AC2B-6460AACF5237}" name="Vslack_pu_sig" totalsRowDxfId="68" dataCellStyle="Note"/>
    <tableColumn id="21" xr3:uid="{EF00869E-9CE5-4F4A-B8C7-846661F1FCB3}" name="Model_Relpath" totalsRowDxfId="67" dataCellStyle="Note"/>
    <tableColumn id="30" xr3:uid="{6F5BA14D-3CEF-4536-BD33-C57FF17FF80F}" name="Original" dataDxfId="66" dataCellStyle="Note">
      <calculatedColumnFormula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calculatedColumnFormula>
    </tableColumn>
    <tableColumn id="35" xr3:uid="{214A0319-047C-4185-BCCC-81BBB2B672D0}" name="Comment" dataDxfId="65" dataCellStyle="Note"/>
    <tableColumn id="28" xr3:uid="{7502D1DD-54A6-45C3-B77B-C42A7C8BA948}" name="Schemes" dataDxfId="64">
      <calculatedColumnFormula>"TRIP BRANCH 'DEDTXDUMMY|NEAR' AT "&amp;10+Table1735[[#This Row],[Fault_Time_sig]]&amp;"s;
TRIP BRANCH 'DEDTXDUMMY|FAR' AT "&amp;10+Table1735[[#This Row],[Fault_Time_sig]]&amp;"s;
TRIP BRANCH 'DEDTXDUMMY2|NEAR' AT "&amp;10+Table1735[[#This Row],[Fault_Time_sig]]&amp;"s;
TRIP BRANCH 'DEDTXDUMMY2|FAR' AT "&amp;10+Table1735[[#This Row],[Fault_Time_sig]]&amp;"s;
TRIP BRANCH 'DED330_MUR330No2|NEAR' AT "&amp;10+Table1735[[#This Row],[Fault_Time_sig]]&amp;"s;
TRIP BRANCH 'DED330_MUR330No2|FAR' AT "&amp;10+Table1735[[#This Row],[Fault_Time_sig]]&amp;"s"</calculatedColumnFormula>
    </tableColumn>
    <tableColumn id="31" xr3:uid="{4F9986D2-E196-43B4-8792-9D00D2A374A3}" name="Schemes2" dataDxfId="63">
      <calculatedColumnFormula>"TRIP MACHINE 'WBTSG1' AT "&amp;0.2+Table1735[[#This Row],[Fault_Time_sig]]&amp;"s;
TRIP MACHINE 'WBTSG2' AT "&amp;0.2+Table1735[[#This Row],[Fault_Time_sig]]&amp;"s;
TRIP MACHINE 'WBTSG3' AT "&amp;0.2+Table1735[[#This Row],[Fault_Time_sig]]&amp;"s;
TRIP MACHINE 'WBTSG4' AT "&amp;0.2+Table1735[[#This Row],[Fault_Time_sig]]&amp;"s;
TRIP MACHINE 'WBTSG5' AT "&amp;0.2+Table1735[[#This Row],[Fault_Time_sig]]&amp;"s"</calculatedColumnFormula>
    </tableColumn>
    <tableColumn id="32" xr3:uid="{0D360189-63A5-470D-8638-9BC68E2C04C9}" name="Schemes3" dataDxfId="62">
      <calculatedColumnFormula>"TRIP MACHINE 'CROW' AT "&amp;0.18+Table1735[[#This Row],[Fault_Time_sig]]&amp;"s;
TRIP MACHINE 'BULGG1' AT "&amp;0.18+Table1735[[#This Row],[Fault_Time_sig]]&amp;"s;
TRIP MACHINE 'BULGG2' AT "&amp;0.18+Table1735[[#This Row],[Fault_Time_sig]]&amp;"s;
TRIP MACHINE 'BULGBESS' AT "&amp;0.18+Table1735[[#This Row],[Fault_Time_sig]]&amp;"s"</calculatedColumnFormula>
    </tableColumn>
  </tableColumns>
  <tableStyleInfo name="TableStyleLight15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209424-1790-41A2-A751-59C0491FF68E}" name="Table23" displayName="Table23" ref="A1:AA13" totalsRowShown="0" headerRowDxfId="61">
  <autoFilter ref="A1:AA13" xr:uid="{74209424-1790-41A2-A751-59C0491FF68E}"/>
  <tableColumns count="27">
    <tableColumn id="1" xr3:uid="{36F6F107-BB9B-48E1-907F-5E38403474F3}" name="Deliverable" dataCellStyle="Input"/>
    <tableColumn id="2" xr3:uid="{E041DDE3-729B-4406-9E1C-412E8AF57A82}" name="Category" dataCellStyle="Input"/>
    <tableColumn id="26" xr3:uid="{85BFE1D6-E081-4CEC-966B-9C3D73EF26E9}" name="Figure Number" dataCellStyle="Input"/>
    <tableColumn id="3" xr3:uid="{046EA2E9-1639-41B6-BA15-54B2062A51E9}" name="Clause" dataCellStyle="Input"/>
    <tableColumn id="4" xr3:uid="{A1073B32-85BD-45D0-83EF-37FA1FC3A651}" name="Test No" dataCellStyle="Input"/>
    <tableColumn id="5" xr3:uid="{60199677-252D-4D9F-846B-F980E780D133}" name="Subtest No" dataCellStyle="Input"/>
    <tableColumn id="28" xr3:uid="{4EAE6A6F-65E8-43A8-8241-E0DC5C95D1C1}" name="Case" dataCellStyle="Input"/>
    <tableColumn id="6" xr3:uid="{D406E261-F0E1-47B7-9313-146C16601158}" name="File_Name" dataDxfId="60" dataCellStyle="Output">
      <calculatedColumnFormula>Table23[[#This Row],[Case]]&amp;"_"&amp;IF(Table23[[#This Row],[Deliverable]]="","",Table23[[#This Row],[Deliverable]]&amp;"_")&amp;IF(Table23[[#This Row],[Clause]]="","",Table23[[#This Row],[Clause]]&amp;"_")&amp;SUBSTITUTE(Table23[[#This Row],[Category]]," ","")&amp;"_"&amp;TEXT(E2,"000")&amp;IF(F2="","","p"&amp;F2)&amp;"_P"&amp;Table23[[#This Row],[Ppoc_pu]]&amp;"_Q"&amp;ROUND(Table23[[#This Row],[Qpoc_pu]],2)&amp;"_V"&amp;Table23[[#This Row],[Vpoc_pu_sig]]</calculatedColumnFormula>
    </tableColumn>
    <tableColumn id="27" xr3:uid="{43B1F4D9-8FC5-43A4-919C-DDE0C60A677A}" name="Steps_Per_Write" dataDxfId="59" dataCellStyle="Output"/>
    <tableColumn id="7" xr3:uid="{809D6A69-3306-4063-AE9B-E03C283357C2}" name="PSSE" dataCellStyle="Input"/>
    <tableColumn id="8" xr3:uid="{DA295B90-3886-4653-A65F-DD6A7F49F02E}" name="PSCAD" dataCellStyle="Input"/>
    <tableColumn id="9" xr3:uid="{C019DE5F-B024-4FE3-B6FA-36D210243123}" name="Grid_SCR" dataDxfId="58" dataCellStyle="Input">
      <calculatedColumnFormula>Table23[[#This Row],[Grid_FL_MVA_sig]]/250</calculatedColumnFormula>
    </tableColumn>
    <tableColumn id="10" xr3:uid="{04C6ACB1-65E0-4643-B4DF-4BE60C5C3E5E}" name="Grid_FL_MVA_sig" dataDxfId="57" dataCellStyle="Calculation"/>
    <tableColumn id="11" xr3:uid="{419A0190-D943-4F18-9FF3-F94A43821910}" name="Grid_X2R_sig" dataCellStyle="Input"/>
    <tableColumn id="12" xr3:uid="{32207B88-AD50-4AA9-83EC-17D322A51F9C}" name="Vpoc_pu_sig" dataDxfId="56" dataCellStyle="Linked Cell"/>
    <tableColumn id="13" xr3:uid="{72A30282-0F0A-4EDE-AF94-94B0F5BB69FB}" name="Qpoc_pu" dataDxfId="55" dataCellStyle="Input">
      <calculatedColumnFormula>(-16.03/98.75)</calculatedColumnFormula>
    </tableColumn>
    <tableColumn id="14" xr3:uid="{96F918D0-52A7-4C4B-A43F-6013C05B6720}" name="Qpoc_MVAr_sig" dataDxfId="54" dataCellStyle="Calculation">
      <calculatedColumnFormula>VLOOKUP("POC Qbase (MVAr)", ParamsTable6[#Data], 2, FALSE)*Table23[[#This Row],[Qpoc_pu]]</calculatedColumnFormula>
    </tableColumn>
    <tableColumn id="15" xr3:uid="{86D574D2-44CF-414D-8204-77461F8C54A0}" name="Vref_init" dataDxfId="53" dataCellStyle="Calculation">
      <calculatedColumnFormula>Table23[[#This Row],[Vpoc_pu_sig]]+(Table23[[#This Row],[Qpoc_pu]]*VLOOKUP("Voltage droop (%)", ParamsTable6[#Data], 2, FALSE))</calculatedColumnFormula>
    </tableColumn>
    <tableColumn id="16" xr3:uid="{3554D644-2ABC-4AB6-BC48-F846FECD414E}" name="Ppoc_pu" dataCellStyle="Input"/>
    <tableColumn id="17" xr3:uid="{0E409DB1-26F4-4226-8B1E-D2544186EB6E}" name="Ppoc_MW_sig" dataDxfId="52" dataCellStyle="Calculation">
      <calculatedColumnFormula>Table23[[#This Row],[Ppoc_pu]]*VLOOKUP("POC Pbase (MW)", ParamsTable6[#Data], 2, FALSE)</calculatedColumnFormula>
    </tableColumn>
    <tableColumn id="19" xr3:uid="{E3291914-3068-4BFD-BAA2-3A4CB30E3B4B}" name="PSSE Commands" dataDxfId="51" dataCellStyle="Calculation">
      <calculatedColumnFormula>"SET MODEL 'ppc' VAR 16 TO "&amp;(0.05-Table23[[#This Row],[Vref_init]])&amp;" AT 5s"</calculatedColumnFormula>
    </tableColumn>
    <tableColumn id="20" xr3:uid="{08C99D54-09C0-4538-A996-DD921FA355CE}" name="Post_Init_Duration_s" dataCellStyle="Input"/>
    <tableColumn id="25" xr3:uid="{1E73A7DB-4542-45F6-AE08-141BF424B3B6}" name="Vslack_pu_sig" dataCellStyle="Input"/>
    <tableColumn id="22" xr3:uid="{49E0FB59-7E36-4A8A-8FB3-FD734B5A9C5B}" name="Model_Relpath" dataDxfId="50" dataCellStyle="Note"/>
    <tableColumn id="21" xr3:uid="{19F9AD3D-7568-4413-8420-8A0451569993}" name="Test Details" dataDxfId="49" dataCellStyle="Note"/>
    <tableColumn id="23" xr3:uid="{477005A6-BEF8-409E-9FDD-46724F65B5EB}" name="Vpoc_disturbance_pu_sig"/>
    <tableColumn id="24" xr3:uid="{A713C820-443E-4887-A2C6-45FC487E5F1F}" name="U_Ov"/>
  </tableColumns>
  <tableStyleInfo name="TableStyleLight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5AAEE6-4C86-45EB-9F29-654CF6CB1C33}" name="Table2338" displayName="Table2338" ref="A1:AE13" totalsRowShown="0" headerRowDxfId="48">
  <autoFilter ref="A1:AE13" xr:uid="{495AAEE6-4C86-45EB-9F29-654CF6CB1C33}"/>
  <tableColumns count="31">
    <tableColumn id="1" xr3:uid="{23045EEB-2C81-43D2-8451-5CAF61D7EA10}" name="Deliverable" dataCellStyle="Input"/>
    <tableColumn id="2" xr3:uid="{5F2ABF22-8401-459A-9923-131E755ACBF3}" name="Category" dataCellStyle="Input"/>
    <tableColumn id="26" xr3:uid="{A7CD5135-C720-47C2-BA38-25D8D6A9226B}" name="Figure Number" dataCellStyle="Input"/>
    <tableColumn id="3" xr3:uid="{318A3F50-32F6-4AB5-B687-3DE8253B19CC}" name="Clause" dataCellStyle="Input"/>
    <tableColumn id="4" xr3:uid="{95E8A718-C743-4FDC-B5B4-D55905CA38AA}" name="Test No" dataCellStyle="Input"/>
    <tableColumn id="5" xr3:uid="{BFD2BAF9-634C-44ED-B65C-D871AC2C22DB}" name="Subtest No" dataCellStyle="Input"/>
    <tableColumn id="32" xr3:uid="{95218668-1B67-48A9-9B59-1BB69341F648}" name="Case" dataCellStyle="Input"/>
    <tableColumn id="6" xr3:uid="{D00BE0F0-C00E-4662-B261-798E3E737329}" name="File_Name" dataDxfId="47" dataCellStyle="Output">
      <calculatedColumnFormula>Table2338[[#This Row],[Case]]&amp;"_"&amp;IF(Table2338[[#This Row],[Deliverable]]="","",Table2338[[#This Row],[Deliverable]]&amp;"_")&amp;IF(Table2338[[#This Row],[Clause]]="","",Table2338[[#This Row],[Clause]]&amp;"_")&amp;SUBSTITUTE(Table2338[[#This Row],[Category]]," ","")&amp;"_"&amp;TEXT(E2,"000")&amp;IF(F2="","","p"&amp;F2)&amp;"_P"&amp;Table2338[[#This Row],[Ppoc_pu]]&amp;"_Q"&amp;ROUND(Table2338[[#This Row],[Qpoc_pu]],2)&amp;"_V"&amp;Table2338[[#This Row],[Vpoc_pu_sig]]</calculatedColumnFormula>
    </tableColumn>
    <tableColumn id="31" xr3:uid="{E6E6A6F7-E089-49E1-A12D-C7E8F2C8FEE7}" name="Steps_Per_Write" dataDxfId="46" dataCellStyle="Output"/>
    <tableColumn id="7" xr3:uid="{048295F8-E9AE-4D3B-87A5-782DC351F318}" name="PSSE" dataCellStyle="Input"/>
    <tableColumn id="8" xr3:uid="{07BC27E5-04F9-40C7-B19C-AF977234A589}" name="PSCAD" dataCellStyle="Input"/>
    <tableColumn id="9" xr3:uid="{70925530-331B-4F12-AA0C-FDEB4FB3BC01}" name="Grid_SCR" dataDxfId="45" dataCellStyle="Input">
      <calculatedColumnFormula>Table2338[[#This Row],[Grid_FL_MVA_sig]]/250</calculatedColumnFormula>
    </tableColumn>
    <tableColumn id="10" xr3:uid="{D8038765-79C1-4718-A0EC-7AA5E25C394D}" name="Grid_FL_MVA_sig" dataDxfId="44" dataCellStyle="Calculation"/>
    <tableColumn id="11" xr3:uid="{7C479238-1B57-4B0F-8676-EB5E8F5E9B19}" name="Grid_X2R_sig" dataCellStyle="Input"/>
    <tableColumn id="12" xr3:uid="{B40CF85E-6C73-4456-8A5E-0A599146103F}" name="Vpoc_pu_sig" dataDxfId="43" dataCellStyle="Linked Cell"/>
    <tableColumn id="13" xr3:uid="{F5EB911F-E2C3-459C-B1FD-0EBD7116B3AD}" name="Qpoc_pu" dataDxfId="42" dataCellStyle="Input">
      <calculatedColumnFormula>ROUND((-42.2/98.75),2)</calculatedColumnFormula>
    </tableColumn>
    <tableColumn id="14" xr3:uid="{AE3B6A11-C00E-4887-BC56-E209C3BBDC8E}" name="Qpoc_MVAr_sig" dataDxfId="41" dataCellStyle="Calculation">
      <calculatedColumnFormula>VLOOKUP("POC Qbase (MVAr)", ParamsTable6[#Data], 2, FALSE)*Table2338[[#This Row],[Qpoc_pu]]</calculatedColumnFormula>
    </tableColumn>
    <tableColumn id="15" xr3:uid="{246F32C9-05EC-41D9-A5E5-B03C71E7F19D}" name="Vref_init" dataDxfId="40" dataCellStyle="Calculation">
      <calculatedColumnFormula>Table2338[[#This Row],[Vpoc_pu_sig]]+(Table2338[[#This Row],[Qpoc_pu]]*VLOOKUP("Voltage droop (%)", ParamsTable6[#Data], 2, FALSE))</calculatedColumnFormula>
    </tableColumn>
    <tableColumn id="16" xr3:uid="{41948A10-16DD-4E32-B77C-158BBD61FB06}" name="Ppoc_pu" dataDxfId="39" dataCellStyle="Input"/>
    <tableColumn id="17" xr3:uid="{695C068C-C5B9-4D9D-83D4-187B48A86B48}" name="Ppoc_MW_sig" dataDxfId="38" dataCellStyle="Calculation">
      <calculatedColumnFormula>Table2338[[#This Row],[Ppoc_pu]]*VLOOKUP("POC Pbase (MW)", ParamsTable6[#Data], 2, FALSE)</calculatedColumnFormula>
    </tableColumn>
    <tableColumn id="19" xr3:uid="{84C78131-41DE-4E54-B8D4-36F103B6F14C}" name="PSSE Commands" dataDxfId="37" dataCellStyle="Calculation">
      <calculatedColumnFormula>"SET MODEL 'ppc' VAR 16 TO "&amp;(0.05-Table2338[[#This Row],[Vref_init]])&amp;" AT 5s"</calculatedColumnFormula>
    </tableColumn>
    <tableColumn id="20" xr3:uid="{CFED1029-7958-46E8-BC75-1DB21C36AFF4}" name="Post_Init_Duration_s" dataDxfId="36" dataCellStyle="Input"/>
    <tableColumn id="21" xr3:uid="{72609A33-B0A3-4AD2-9326-D5C2C46AE858}" name="Vslack_pu_sig" dataCellStyle="Input"/>
    <tableColumn id="25" xr3:uid="{46F1A224-794F-46B2-856A-DB0D68A0B511}" name="Test Details" dataDxfId="35" dataCellStyle="Note">
      <calculatedColumnFormula>IF(Table2338[[#This Row],[Signal2]]=0,"Qref "&amp;Table2338[[#This Row],[Signal1]]&amp;"p.u at "&amp;Table2338[[#This Row],[T1]]&amp;"s","Qref "&amp;Table2338[[#This Row],[Signal1]]&amp;"pu at "&amp;Table2338[[#This Row],[T1]]&amp;"s, "&amp;Table2338[[#This Row],[Signal2]]&amp;"pu at "&amp;Table2338[[#This Row],[T2]]&amp;"s")</calculatedColumnFormula>
    </tableColumn>
    <tableColumn id="22" xr3:uid="{6A518218-E77B-4E77-A4A4-051ED40C60C1}" name="Model_Relpath" dataDxfId="34" dataCellStyle="Note"/>
    <tableColumn id="23" xr3:uid="{96B25BC7-86FB-40B7-982E-69A0EC607441}" name="Vpoc_disturbance_pu_sig"/>
    <tableColumn id="24" xr3:uid="{456470EF-C979-44FD-AC03-4A1D2859FC75}" name="U_Ov"/>
    <tableColumn id="27" xr3:uid="{BEDEDB76-3CEB-431E-9649-CAA5C5484997}" name="Signal1" dataDxfId="33">
      <calculatedColumnFormula>(Table2338[[#This Row],[Qpoc_pu]]-0.5)</calculatedColumnFormula>
    </tableColumn>
    <tableColumn id="28" xr3:uid="{7105F3F6-6B59-47AA-B2CB-94C1519E7E33}" name="Signal2"/>
    <tableColumn id="29" xr3:uid="{D2000CE3-60F3-4530-B20D-FC6BBDC7D36A}" name="T1"/>
    <tableColumn id="30" xr3:uid="{69F57548-6181-4A0F-8112-A2E6E095E3BA}" name="T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7FE181-A3DF-4CBC-B74E-B0B5AB484BBB}" name="Table2331310" displayName="Table2331310" ref="A1:AD13" totalsRowShown="0" headerRowDxfId="32">
  <autoFilter ref="A1:AD13" xr:uid="{BB7FE181-A3DF-4CBC-B74E-B0B5AB484BBB}"/>
  <tableColumns count="30">
    <tableColumn id="1" xr3:uid="{FFDB09CF-4697-4337-8399-0156A33F2566}" name="Deliverable" dataCellStyle="Input"/>
    <tableColumn id="2" xr3:uid="{7C971E44-84EA-47C9-989F-05EEF9E6CAA9}" name="Category" dataCellStyle="Input"/>
    <tableColumn id="29" xr3:uid="{328C592C-171E-48B9-ACEC-E576E124158C}" name="Figure Number" dataCellStyle="Input"/>
    <tableColumn id="3" xr3:uid="{F55FEBA9-D463-4177-8CCC-926B66288548}" name="Clause" dataCellStyle="Input"/>
    <tableColumn id="4" xr3:uid="{515BE7D8-5AD8-4584-9804-62C8875FC72A}" name="Test No" dataCellStyle="Input"/>
    <tableColumn id="5" xr3:uid="{8D49D183-753B-4E83-81CA-F77EC87549BD}" name="Subtest No" dataCellStyle="Input"/>
    <tableColumn id="31" xr3:uid="{E69CE4F7-F1A4-4789-AE5A-726A6BC533C3}" name="Case" dataCellStyle="Input"/>
    <tableColumn id="6" xr3:uid="{8948FE1F-9F24-441F-AD8A-9070A34E85EA}" name="File_Name" dataDxfId="31" dataCellStyle="Output">
      <calculatedColumnFormula>Table2331310[[#This Row],[Case]]&amp;"_"&amp;IF(Table2331310[[#This Row],[Deliverable]]="","",Table2331310[[#This Row],[Deliverable]]&amp;"_")&amp;IF(Table2331310[[#This Row],[Clause]]="","",Table2331310[[#This Row],[Clause]]&amp;"_")&amp;SUBSTITUTE(Table2331310[[#This Row],[Category]]," ","")&amp;"_"&amp;TEXT(E2,"000")&amp;IF(F2="","","p"&amp;F2)&amp;"_P"&amp;Table2331310[[#This Row],[Ppoc_pu]]&amp;"_Q"&amp;ROUND(Table2331310[[#This Row],[Qpoc_pu]],2)&amp;"_V"&amp;Table2331310[[#This Row],[Vpoc_pu_sig]]</calculatedColumnFormula>
    </tableColumn>
    <tableColumn id="30" xr3:uid="{98B980D9-6084-4F98-AD12-612315F232C2}" name="Steps_Per_Write" dataDxfId="30" dataCellStyle="Output"/>
    <tableColumn id="7" xr3:uid="{C3DFCB7B-7747-4DCF-A421-5587C4065885}" name="PSSE" dataCellStyle="Input"/>
    <tableColumn id="8" xr3:uid="{BA842FFA-3600-4508-9702-42383AF2C679}" name="PSCAD" dataCellStyle="Input"/>
    <tableColumn id="9" xr3:uid="{53C703F1-7682-4915-A15B-238087447315}" name="Grid_SCR" dataDxfId="29" dataCellStyle="Input">
      <calculatedColumnFormula>Table2331310[[#This Row],[Grid_FL_MVA_sig]]/250</calculatedColumnFormula>
    </tableColumn>
    <tableColumn id="10" xr3:uid="{A02B1EB8-B355-4B70-AB3A-CE918767A354}" name="Grid_FL_MVA_sig" dataDxfId="28" dataCellStyle="Calculation">
      <calculatedColumnFormula>VLOOKUP("POC Pbase (MW)", [1]!ParamsTable[#Data], 2, FALSE)*Table2331310[[#This Row],[Grid_SCR]]</calculatedColumnFormula>
    </tableColumn>
    <tableColumn id="11" xr3:uid="{45F413DE-02C2-4C6F-81F7-91F8EBEC66E2}" name="Grid_X2R_sig" dataCellStyle="Input">
      <calculatedColumnFormula>VLOOKUP("Maximum SCR X2R", [1]!ParamsTable[#Data], 2, FALSE)</calculatedColumnFormula>
    </tableColumn>
    <tableColumn id="12" xr3:uid="{C3B59900-72D0-49A7-808F-BEE1509B8C99}" name="Vpoc_pu_sig" dataDxfId="27" dataCellStyle="Linked Cell"/>
    <tableColumn id="13" xr3:uid="{48D1D1F5-B863-44B6-ABB3-21CF5FCBBB08}" name="Qpoc_pu" dataDxfId="26" dataCellStyle="Input">
      <calculatedColumnFormula>(-16.03/98.75)</calculatedColumnFormula>
    </tableColumn>
    <tableColumn id="14" xr3:uid="{9A22A625-FDD3-4899-8BC2-1DE62DFD6138}" name="Qpoc_MVAr_sig" dataDxfId="25" dataCellStyle="Calculation">
      <calculatedColumnFormula>VLOOKUP("POC Qbase (MVAr)", ParamsTable6[#Data], 2, FALSE)*Table2331310[[#This Row],[Qpoc_pu]]</calculatedColumnFormula>
    </tableColumn>
    <tableColumn id="15" xr3:uid="{E63F5723-5B67-4C44-A4D8-8FD82666C531}" name="Vref_init" dataDxfId="24" dataCellStyle="Calculation">
      <calculatedColumnFormula>Table2331310[[#This Row],[Vpoc_pu_sig]]+(Table2331310[[#This Row],[Qpoc_pu]]*VLOOKUP("Voltage droop (%)", ParamsTable6[#Data], 2, FALSE))</calculatedColumnFormula>
    </tableColumn>
    <tableColumn id="16" xr3:uid="{131DE66E-C16C-48E3-AEE8-4DB685073E95}" name="Ppoc_pu" dataCellStyle="Input"/>
    <tableColumn id="17" xr3:uid="{D21F4616-9364-4EE3-ABE7-F8DCF815C2D0}" name="Ppoc_MW_sig" dataDxfId="23" dataCellStyle="Calculation">
      <calculatedColumnFormula>Table2331310[[#This Row],[Ppoc_pu]]*VLOOKUP("POC Pbase (MW)", ParamsTable6[#Data], 2, FALSE)</calculatedColumnFormula>
    </tableColumn>
    <tableColumn id="26" xr3:uid="{EC14491B-94A4-485D-AC33-12B00581F33C}" name="0.5Q_PF_target" dataDxfId="22" dataCellStyle="Calculation">
      <calculatedColumnFormula>COS(ATAN((0.5*VLOOKUP("POC Qbase (MVAr)",ParamsTable6[#Data], 2, FALSE))/(Table2331310[[#This Row],[Ppoc_MW_sig]])))</calculatedColumnFormula>
    </tableColumn>
    <tableColumn id="27" xr3:uid="{764B886A-8194-463B-A308-781AB915A3B7}" name="0.25Q_PF_target" dataDxfId="21" dataCellStyle="Calculation">
      <calculatedColumnFormula>COS(ATAN((0.75*VLOOKUP("POC Qbase (MVAr)", ParamsTable6[#Data], 2, FALSE))/(Table2331310[[#This Row],[Ppoc_MW_sig]])))</calculatedColumnFormula>
    </tableColumn>
    <tableColumn id="28" xr3:uid="{10D3AF4F-09BE-4297-9502-4B665C7B68AC}" name="1.25Q_PF_target" dataDxfId="20" dataCellStyle="Calculation">
      <calculatedColumnFormula>COS(ATAN((1.25*VLOOKUP("POC Qbase (MVAr)", ParamsTable6[#Data], 2, FALSE))/(Table2331310[[#This Row],[Ppoc_MW_sig]])))</calculatedColumnFormula>
    </tableColumn>
    <tableColumn id="19" xr3:uid="{B8207ED1-D602-47E3-BCFC-5A663838114B}" name="PSSE Commands" dataDxfId="19" dataCellStyle="Calculation">
      <calculatedColumnFormula>"SET MODEL 'ppc' VAR 16 TO "&amp;(0.05-Table2331310[[#This Row],[Vref_init]])&amp;" AT 5s"</calculatedColumnFormula>
    </tableColumn>
    <tableColumn id="20" xr3:uid="{A1165CDD-2B42-4B40-85B3-8A33779306D8}" name="Post_Init_Duration_s" dataDxfId="18" dataCellStyle="Input"/>
    <tableColumn id="21" xr3:uid="{67D84ABB-6E72-4AFD-8AF0-DB2C4AEBDA92}" name="Vslack_pu_sig" dataCellStyle="Input"/>
    <tableColumn id="25" xr3:uid="{F531A060-FA2B-4BE0-AAFD-7663FFFEFAF8}" name="Test Details" dataDxfId="17" dataCellStyle="Note"/>
    <tableColumn id="22" xr3:uid="{6C780A7E-7D1F-47F1-88DA-91BF01293B9A}" name="Model_Relpath" dataDxfId="16" dataCellStyle="Note"/>
    <tableColumn id="23" xr3:uid="{2F6279F7-1AD1-4AE1-B3C6-D53B6500BCBC}" name="Vpoc_disturbance_pu_sig"/>
    <tableColumn id="24" xr3:uid="{4B3A6BE1-22C8-4BA0-8E40-2E987224E60C}" name="U_Ov"/>
  </tableColumns>
  <tableStyleInfo name="TableStyleLight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24C2EE8-2C08-4DFA-B2C0-23B26A1FBED9}" name="Table25" displayName="Table25" ref="A1:AG8" totalsRowShown="0">
  <autoFilter ref="A1:AG8" xr:uid="{624C2EE8-2C08-4DFA-B2C0-23B26A1FBED9}"/>
  <tableColumns count="33">
    <tableColumn id="1" xr3:uid="{355C2B71-C33E-44AF-B814-F386568BFD74}" name="Deliverable" dataCellStyle="Input"/>
    <tableColumn id="2" xr3:uid="{F054556B-AB0F-4403-80A9-35DC77094AC1}" name="Category" dataCellStyle="Input"/>
    <tableColumn id="29" xr3:uid="{140D5B4E-2624-4934-A7D5-BCA79BA7AE2E}" name="Figure Number" dataCellStyle="Input"/>
    <tableColumn id="3" xr3:uid="{759F2E2C-8512-4F31-A38A-E4286AD24DA2}" name="Clause" dataCellStyle="Input"/>
    <tableColumn id="4" xr3:uid="{D185AA0F-46EC-4AF4-89D0-84360A00731A}" name="Test No" dataCellStyle="Input"/>
    <tableColumn id="5" xr3:uid="{B73E327D-A235-41E5-9661-B507BDE251E7}" name="Subtest No" dataCellStyle="Input"/>
    <tableColumn id="26" xr3:uid="{BF477860-DF47-46CD-A91A-706572F2762F}" name="Batch" dataCellStyle="Input"/>
    <tableColumn id="6" xr3:uid="{610912B9-16BD-47BB-AC4E-FD0F715BA4F1}" name="File_Name" dataDxfId="15" dataCellStyle="Output">
      <calculatedColumnFormula>IF(Table25[[#This Row],[Deliverable]]="","",Table25[[#This Row],[Deliverable]]&amp;"_")&amp;IF(Table25[[#This Row],[Clause]]="","",Table25[[#This Row],[Clause]]&amp;"_")&amp;SUBSTITUTE(Table25[[#This Row],[Category]]," ","")&amp;"_"&amp;TEXT(E2,"000")&amp;IF(F2="","","p"&amp;F2)&amp;"_FL"&amp;Table25[[#This Row],[Grid_FL_MVA_sig]]&amp;"_X2R"&amp;Table25[[#This Row],[Grid_X2R_sig]]&amp;"_P"&amp;Table25[[#This Row],[Ppoc_pu]]&amp;"_Q"&amp;Table25[[#This Row],[Qpoc_pu]]&amp;"_V"&amp;Table25[[#This Row],[Vpoc_pu_sig]]</calculatedColumnFormula>
    </tableColumn>
    <tableColumn id="31" xr3:uid="{2D64B3FA-D93F-43DF-9956-C4F8BCABD7AC}" name="Steps_Per_Write" dataCellStyle="Output"/>
    <tableColumn id="7" xr3:uid="{422E55CA-0D80-49A5-8B85-6424A572181A}" name="PSSE" dataCellStyle="Input"/>
    <tableColumn id="8" xr3:uid="{F89BB4DD-28B7-4AB3-83E9-6DD6E0623D67}" name="PSCAD" dataCellStyle="Input"/>
    <tableColumn id="9" xr3:uid="{E294EF0F-73B8-4191-9925-DD15A340314C}" name="Grid_SCR" dataDxfId="14" dataCellStyle="Input">
      <calculatedColumnFormula>Table25[[#This Row],[Grid_FL_MVA_sig]]/250</calculatedColumnFormula>
    </tableColumn>
    <tableColumn id="15" xr3:uid="{FBD1F41E-349F-4E07-BACB-81BDC0B638A5}" name="Grid_FL_MVA_sig" dataDxfId="13" dataCellStyle="Calculation"/>
    <tableColumn id="10" xr3:uid="{C1C38BFC-7A7A-4828-9809-C8B1A9577DB5}" name="Grid_X2R_sig" dataCellStyle="Input"/>
    <tableColumn id="11" xr3:uid="{D5292811-9E62-4AAD-92D8-1F95D62F0EBC}" name="Vpoc_pu_sig" dataDxfId="12" dataCellStyle="Linked Cell">
      <calculatedColumnFormula>VLOOKUP("Normal Vpoc (pu)", ParamsTable6[], 2, FALSE)</calculatedColumnFormula>
    </tableColumn>
    <tableColumn id="13" xr3:uid="{861EACAB-589A-4EA5-B7AF-6E0C3F5763AE}" name="Qpoc_pu" dataDxfId="11" dataCellStyle="Input">
      <calculatedColumnFormula>(-42.2/98.75)</calculatedColumnFormula>
    </tableColumn>
    <tableColumn id="16" xr3:uid="{EF1DAEEE-4DA2-4ABE-A900-C5CA0CBC1A6F}" name="Qpoc_MVAr_sig" dataDxfId="10" dataCellStyle="Calculation">
      <calculatedColumnFormula>VLOOKUP("POC Qbase (MVAr)", ParamsTable6[#Data], 2, FALSE)*Table25[[#This Row],[Qpoc_pu]]</calculatedColumnFormula>
    </tableColumn>
    <tableColumn id="12" xr3:uid="{6F037D9A-CAD2-48C4-A5A3-2607E2C705E7}" name="Vref_pu_sig" dataDxfId="9" dataCellStyle="Calculation">
      <calculatedColumnFormula>Table25[[#This Row],[Vpoc_pu_sig]]+(Table25[[#This Row],[Qpoc_pu]]*VLOOKUP("Voltage droop (%)", ParamsTable6[#Data], 2, FALSE))</calculatedColumnFormula>
    </tableColumn>
    <tableColumn id="32" xr3:uid="{CDD37850-B563-4175-A4F7-34C10B147994}" name="Ppoc_pu" dataDxfId="8" dataCellStyle="Input"/>
    <tableColumn id="20" xr3:uid="{A997F42D-0AB6-420F-8949-A0B6428B9DBA}" name="Ppoc_MW_sig" dataDxfId="7" dataCellStyle="Calculation">
      <calculatedColumnFormula>Table25[[#This Row],[Ppoc_pu]]*VLOOKUP("POC Pbase (MW)", ParamsTable6[#Data], 2, FALSE)</calculatedColumnFormula>
    </tableColumn>
    <tableColumn id="16393" xr3:uid="{FAF59E89-EC40-44FC-B98C-AC34B36B0DA2}" name="U_Ov" dataCellStyle="Input"/>
    <tableColumn id="17" xr3:uid="{592A4304-375A-42CB-8754-DBD12D01BBD5}" name="Fault_Time" dataCellStyle="Input"/>
    <tableColumn id="18" xr3:uid="{1BB91BDD-7E2D-4389-AB89-4EBB7E930BAA}" name="Fault_Duration" dataCellStyle="Input"/>
    <tableColumn id="21" xr3:uid="{6CA9527D-4AC5-4C13-9FD8-7EEEA6885B2C}" name="TOV_Timing_Signal_sig" dataDxfId="6" dataCellStyle="Calculation">
      <calculatedColumnFormula>"0, AT "&amp;Table25[[#This Row],[Fault_Time]]&amp;"s, ↑ 1, AT "&amp;Table25[[#This Row],[Fault_Time]]+Table25[[#This Row],[Fault_Duration]]&amp;"s ↓ 0"</calculatedColumnFormula>
    </tableColumn>
    <tableColumn id="19" xr3:uid="{9D39DFFF-72AA-403A-B76B-6CF7750FCB95}" name="Post_Fault_Duration" dataCellStyle="Input"/>
    <tableColumn id="28" xr3:uid="{A05FD14C-F5CD-4685-B630-BC7AF964D39B}" name="Post_Init_Duration_s" dataDxfId="5" dataCellStyle="Output">
      <calculatedColumnFormula>Table25[[#This Row],[Fault_Time]]+Table25[[#This Row],[Fault_Duration]]+Table25[[#This Row],[Post_Fault_Duration]]</calculatedColumnFormula>
    </tableColumn>
    <tableColumn id="25" xr3:uid="{D035AC38-CCFB-44D4-B7E3-D364915CDA41}" name="TOV_Shunt_C_uF_sig" dataDxfId="4" dataCellStyle="Calculation"/>
    <tableColumn id="14" xr3:uid="{5F91121A-16E0-4CF7-A60D-ACE8E9F01671}" name="TOV_MVAr" dataDxfId="3" dataCellStyle="Note"/>
    <tableColumn id="27" xr3:uid="{47C97FC0-B86E-463B-8A0A-6A1B6AFBCBB5}" name="Column1" dataDxfId="2" dataCellStyle="Note">
      <calculatedColumnFormula>1*10^12*Table25[[#This Row],[TOV_MVAr]]/(2*PI()*50*(220*1000)^2)*1</calculatedColumnFormula>
    </tableColumn>
    <tableColumn id="30" xr3:uid="{CFFE4733-E71F-41EC-9357-C990E3DED85C}" name="Model_Relpath" dataCellStyle="Note"/>
    <tableColumn id="22" xr3:uid="{4CD290C7-A3A9-4F76-B78E-1A347C8FEDC7}" name="PSSE Commands" dataDxfId="1" dataCellStyle="Calculation">
      <calculatedColumnFormula>"CHANGE FIXED_SHUNT 'tov' MVAR TO "&amp;Table25[[#This Row],[TOV_MVAr]]&amp;" AT "&amp;Table25[[#This Row],[Fault_Time]]&amp;"s; "
&amp;"TRIP FIXED_SHUNT 'tov' AT "&amp;Table25[[#This Row],[Fault_Time]]+Table25[[#This Row],[Fault_Duration]]&amp;"s"</calculatedColumnFormula>
    </tableColumn>
    <tableColumn id="24" xr3:uid="{71C1A3B3-5BBA-4075-A3DB-396EB92D407B}" name="Vslack_pu_sig" dataDxfId="0" dataCellStyle="Calculation"/>
    <tableColumn id="23" xr3:uid="{06C18221-EF75-467D-9D50-526A999BE2BD}" name="Vpoc_disturbance_pu_sig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CD9D-3B1B-4566-ADDA-4A993130F231}">
  <sheetPr>
    <tabColor theme="0" tint="-0.34998626667073579"/>
  </sheetPr>
  <dimension ref="A1:B19"/>
  <sheetViews>
    <sheetView workbookViewId="0">
      <selection activeCell="D26" sqref="D26"/>
    </sheetView>
  </sheetViews>
  <sheetFormatPr defaultRowHeight="14.4" x14ac:dyDescent="0.3"/>
  <cols>
    <col min="1" max="1" width="33.21875" bestFit="1" customWidth="1"/>
    <col min="2" max="2" width="12" bestFit="1" customWidth="1"/>
  </cols>
  <sheetData>
    <row r="1" spans="1:2" x14ac:dyDescent="0.3">
      <c r="A1" s="1" t="s">
        <v>9</v>
      </c>
      <c r="B1" s="23" t="s">
        <v>10</v>
      </c>
    </row>
    <row r="2" spans="1:2" x14ac:dyDescent="0.3">
      <c r="A2" t="s">
        <v>50</v>
      </c>
      <c r="B2" s="19">
        <v>920</v>
      </c>
    </row>
    <row r="3" spans="1:2" x14ac:dyDescent="0.3">
      <c r="A3" t="s">
        <v>51</v>
      </c>
      <c r="B3" s="19">
        <v>2150</v>
      </c>
    </row>
    <row r="4" spans="1:2" x14ac:dyDescent="0.3">
      <c r="A4" t="s">
        <v>11</v>
      </c>
      <c r="B4" s="19">
        <f>B2/B11</f>
        <v>3.68</v>
      </c>
    </row>
    <row r="5" spans="1:2" x14ac:dyDescent="0.3">
      <c r="A5" t="s">
        <v>14</v>
      </c>
      <c r="B5" s="19">
        <v>5</v>
      </c>
    </row>
    <row r="6" spans="1:2" x14ac:dyDescent="0.3">
      <c r="A6" t="s">
        <v>52</v>
      </c>
      <c r="B6" s="19">
        <f>B3/B11</f>
        <v>8.6</v>
      </c>
    </row>
    <row r="7" spans="1:2" x14ac:dyDescent="0.3">
      <c r="A7" t="s">
        <v>53</v>
      </c>
      <c r="B7" s="19">
        <v>6.5</v>
      </c>
    </row>
    <row r="8" spans="1:2" x14ac:dyDescent="0.3">
      <c r="A8" t="s">
        <v>18</v>
      </c>
      <c r="B8" s="19">
        <v>98.75</v>
      </c>
    </row>
    <row r="9" spans="1:2" x14ac:dyDescent="0.3">
      <c r="A9" t="s">
        <v>19</v>
      </c>
      <c r="B9" s="19">
        <v>-98.75</v>
      </c>
    </row>
    <row r="10" spans="1:2" x14ac:dyDescent="0.3">
      <c r="A10" t="s">
        <v>13</v>
      </c>
      <c r="B10" s="19">
        <v>98.75</v>
      </c>
    </row>
    <row r="11" spans="1:2" x14ac:dyDescent="0.3">
      <c r="A11" t="s">
        <v>17</v>
      </c>
      <c r="B11" s="19">
        <v>250</v>
      </c>
    </row>
    <row r="12" spans="1:2" x14ac:dyDescent="0.3">
      <c r="A12" t="s">
        <v>21</v>
      </c>
      <c r="B12" s="19">
        <v>250</v>
      </c>
    </row>
    <row r="13" spans="1:2" x14ac:dyDescent="0.3">
      <c r="A13" t="s">
        <v>20</v>
      </c>
      <c r="B13" s="19">
        <v>0</v>
      </c>
    </row>
    <row r="14" spans="1:2" x14ac:dyDescent="0.3">
      <c r="A14" t="s">
        <v>16</v>
      </c>
      <c r="B14" s="20">
        <f>SQRT(B11*B11+B10*B10)</f>
        <v>268.79650760380053</v>
      </c>
    </row>
    <row r="15" spans="1:2" x14ac:dyDescent="0.3">
      <c r="A15" t="s">
        <v>12</v>
      </c>
      <c r="B15" s="21">
        <v>3.95E-2</v>
      </c>
    </row>
    <row r="16" spans="1:2" x14ac:dyDescent="0.3">
      <c r="A16" t="s">
        <v>15</v>
      </c>
      <c r="B16" s="19">
        <v>1.06</v>
      </c>
    </row>
    <row r="17" spans="1:2" x14ac:dyDescent="0.3">
      <c r="A17" t="s">
        <v>54</v>
      </c>
      <c r="B17" s="19">
        <f>B16+(B15)</f>
        <v>1.0995000000000001</v>
      </c>
    </row>
    <row r="18" spans="1:2" x14ac:dyDescent="0.3">
      <c r="A18" t="s">
        <v>55</v>
      </c>
      <c r="B18" s="22">
        <f>B16-B15</f>
        <v>1.0205</v>
      </c>
    </row>
    <row r="19" spans="1:2" x14ac:dyDescent="0.3">
      <c r="A19" t="s">
        <v>56</v>
      </c>
      <c r="B19" s="19">
        <v>220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7E694-67EA-45A6-83A7-1DBB998220E7}">
  <sheetPr>
    <tabColor rgb="FF92D050"/>
  </sheetPr>
  <dimension ref="A1:X2"/>
  <sheetViews>
    <sheetView workbookViewId="0">
      <selection activeCell="G15" sqref="G15"/>
    </sheetView>
  </sheetViews>
  <sheetFormatPr defaultRowHeight="14.4" x14ac:dyDescent="0.3"/>
  <cols>
    <col min="1" max="1" width="15.109375" customWidth="1"/>
    <col min="2" max="3" width="13" customWidth="1"/>
    <col min="4" max="4" width="10.5546875" customWidth="1"/>
    <col min="5" max="5" width="9.44140625" customWidth="1"/>
    <col min="6" max="6" width="12.33203125" customWidth="1"/>
    <col min="7" max="7" width="62.109375" bestFit="1" customWidth="1"/>
    <col min="8" max="8" width="62.109375" customWidth="1"/>
    <col min="9" max="10" width="10.5546875" customWidth="1"/>
    <col min="11" max="11" width="24.5546875" customWidth="1"/>
    <col min="12" max="12" width="18.109375" customWidth="1"/>
    <col min="13" max="13" width="24.6640625" customWidth="1"/>
    <col min="14" max="14" width="21" customWidth="1"/>
    <col min="15" max="15" width="16.109375" customWidth="1"/>
    <col min="16" max="16" width="19.33203125" bestFit="1" customWidth="1"/>
    <col min="17" max="17" width="12.88671875" bestFit="1" customWidth="1"/>
    <col min="18" max="18" width="16.109375" bestFit="1" customWidth="1"/>
    <col min="19" max="19" width="17.6640625" bestFit="1" customWidth="1"/>
    <col min="20" max="20" width="96.5546875" customWidth="1"/>
    <col min="21" max="21" width="23.5546875" bestFit="1" customWidth="1"/>
    <col min="22" max="22" width="18.88671875" bestFit="1" customWidth="1"/>
    <col min="23" max="23" width="27.6640625" bestFit="1" customWidth="1"/>
    <col min="24" max="24" width="10.109375" bestFit="1" customWidth="1"/>
  </cols>
  <sheetData>
    <row r="1" spans="1:24" ht="15" thickBot="1" x14ac:dyDescent="0.35">
      <c r="A1" s="2" t="s">
        <v>0</v>
      </c>
      <c r="B1" s="2" t="s">
        <v>1</v>
      </c>
      <c r="C1" s="2" t="s">
        <v>57</v>
      </c>
      <c r="D1" s="2" t="s">
        <v>58</v>
      </c>
      <c r="E1" s="2" t="s">
        <v>4</v>
      </c>
      <c r="F1" s="2" t="s">
        <v>5</v>
      </c>
      <c r="G1" s="2" t="s">
        <v>6</v>
      </c>
      <c r="H1" s="5" t="s">
        <v>44</v>
      </c>
      <c r="I1" s="2" t="s">
        <v>2</v>
      </c>
      <c r="J1" s="2" t="s">
        <v>3</v>
      </c>
      <c r="K1" s="34" t="s">
        <v>60</v>
      </c>
      <c r="L1" s="34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78</v>
      </c>
      <c r="R1" s="2" t="s">
        <v>67</v>
      </c>
      <c r="S1" s="2" t="s">
        <v>68</v>
      </c>
      <c r="T1" s="24" t="s">
        <v>23</v>
      </c>
      <c r="U1" s="24" t="s">
        <v>7</v>
      </c>
      <c r="V1" s="24" t="s">
        <v>8</v>
      </c>
      <c r="W1" s="24" t="s">
        <v>76</v>
      </c>
      <c r="X1" s="24" t="s">
        <v>69</v>
      </c>
    </row>
    <row r="2" spans="1:24" x14ac:dyDescent="0.3">
      <c r="A2" s="4" t="s">
        <v>24</v>
      </c>
      <c r="B2" s="4" t="s">
        <v>102</v>
      </c>
      <c r="C2" s="4">
        <v>1</v>
      </c>
      <c r="D2" s="4"/>
      <c r="E2" s="4">
        <v>1</v>
      </c>
      <c r="F2" s="4"/>
      <c r="G2" s="5" t="str">
        <f>Table232[[#This Row],[Deliverable]]&amp;"_"&amp;Table232[[#This Row],[Category]]&amp;"_"&amp;TEXT(E2,"000")</f>
        <v>CSR_FlatRun_001</v>
      </c>
      <c r="H2" s="5">
        <v>10000</v>
      </c>
      <c r="I2" s="4" t="b">
        <v>1</v>
      </c>
      <c r="J2" s="4" t="b">
        <v>1</v>
      </c>
      <c r="K2" s="4" t="s">
        <v>103</v>
      </c>
      <c r="L2" s="4" t="s">
        <v>103</v>
      </c>
      <c r="M2" s="4" t="s">
        <v>103</v>
      </c>
      <c r="N2" s="4" t="s">
        <v>103</v>
      </c>
      <c r="O2" s="4" t="s">
        <v>103</v>
      </c>
      <c r="P2" s="4" t="s">
        <v>103</v>
      </c>
      <c r="Q2" s="4" t="s">
        <v>103</v>
      </c>
      <c r="R2" s="4" t="s">
        <v>103</v>
      </c>
      <c r="S2" s="4" t="s">
        <v>103</v>
      </c>
      <c r="T2" s="35"/>
      <c r="U2" s="4">
        <v>2</v>
      </c>
      <c r="V2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2C02-2863-429E-ABE8-33B6AA9E05E8}">
  <sheetPr>
    <tabColor rgb="FF92D050"/>
  </sheetPr>
  <dimension ref="A1:AJ41"/>
  <sheetViews>
    <sheetView zoomScale="60" zoomScaleNormal="60" workbookViewId="0">
      <selection activeCell="AB37" sqref="AB37"/>
    </sheetView>
  </sheetViews>
  <sheetFormatPr defaultColWidth="10.21875" defaultRowHeight="14.4" x14ac:dyDescent="0.3"/>
  <cols>
    <col min="1" max="1" width="15.77734375" bestFit="1" customWidth="1"/>
    <col min="2" max="2" width="13.44140625" bestFit="1" customWidth="1"/>
    <col min="3" max="3" width="17.21875" bestFit="1" customWidth="1"/>
    <col min="4" max="4" width="18.77734375" style="1" bestFit="1" customWidth="1"/>
    <col min="5" max="5" width="22.33203125" bestFit="1" customWidth="1"/>
    <col min="6" max="6" width="22.33203125" customWidth="1"/>
    <col min="7" max="7" width="31.77734375" bestFit="1" customWidth="1"/>
    <col min="8" max="8" width="24.21875" bestFit="1" customWidth="1"/>
    <col min="9" max="9" width="16.109375" customWidth="1"/>
    <col min="10" max="10" width="18.21875" customWidth="1"/>
    <col min="11" max="11" width="16.44140625" customWidth="1"/>
    <col min="12" max="13" width="14.77734375" customWidth="1"/>
    <col min="14" max="14" width="29.109375" customWidth="1"/>
    <col min="15" max="15" width="21" customWidth="1"/>
    <col min="16" max="16" width="9.77734375" customWidth="1"/>
    <col min="17" max="17" width="27.33203125" customWidth="1"/>
    <col min="18" max="18" width="31.88671875" customWidth="1"/>
    <col min="19" max="19" width="15.77734375" customWidth="1"/>
    <col min="21" max="21" width="17.44140625" customWidth="1"/>
    <col min="22" max="22" width="22.21875" customWidth="1"/>
    <col min="23" max="23" width="21.88671875" customWidth="1"/>
    <col min="24" max="24" width="22.88671875" bestFit="1" customWidth="1"/>
    <col min="25" max="25" width="16.109375" bestFit="1" customWidth="1"/>
    <col min="26" max="26" width="34.88671875" bestFit="1" customWidth="1"/>
    <col min="27" max="27" width="38.5546875" customWidth="1"/>
    <col min="28" max="28" width="141.88671875" customWidth="1"/>
    <col min="29" max="29" width="65.6640625" customWidth="1"/>
    <col min="30" max="30" width="24.21875" customWidth="1"/>
    <col min="32" max="32" width="47.44140625" hidden="1" customWidth="1"/>
    <col min="33" max="33" width="97.6640625" bestFit="1" customWidth="1"/>
    <col min="34" max="34" width="59.77734375" bestFit="1" customWidth="1"/>
    <col min="35" max="35" width="180.77734375" bestFit="1" customWidth="1"/>
    <col min="36" max="36" width="146.77734375" bestFit="1" customWidth="1"/>
    <col min="37" max="37" width="137.21875" bestFit="1" customWidth="1"/>
  </cols>
  <sheetData>
    <row r="1" spans="1:36" x14ac:dyDescent="0.3">
      <c r="A1" s="2" t="s">
        <v>0</v>
      </c>
      <c r="B1" s="2" t="s">
        <v>1</v>
      </c>
      <c r="C1" s="2" t="s">
        <v>25</v>
      </c>
      <c r="D1" s="2" t="s">
        <v>4</v>
      </c>
      <c r="E1" s="2" t="s">
        <v>5</v>
      </c>
      <c r="F1" s="2" t="s">
        <v>107</v>
      </c>
      <c r="G1" s="2" t="s">
        <v>6</v>
      </c>
      <c r="H1" s="3" t="s">
        <v>44</v>
      </c>
      <c r="I1" s="2" t="s">
        <v>2</v>
      </c>
      <c r="J1" s="2" t="s">
        <v>3</v>
      </c>
      <c r="K1" s="3" t="s">
        <v>28</v>
      </c>
      <c r="L1" s="3" t="s">
        <v>29</v>
      </c>
      <c r="M1" s="3" t="s">
        <v>48</v>
      </c>
      <c r="N1" s="3" t="s">
        <v>49</v>
      </c>
      <c r="O1" s="3" t="s">
        <v>30</v>
      </c>
      <c r="P1" s="3" t="s">
        <v>37</v>
      </c>
      <c r="Q1" s="3" t="s">
        <v>31</v>
      </c>
      <c r="R1" s="3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39</v>
      </c>
      <c r="X1" t="s">
        <v>38</v>
      </c>
      <c r="Y1" s="3" t="s">
        <v>26</v>
      </c>
      <c r="Z1" s="3" t="s">
        <v>27</v>
      </c>
      <c r="AA1" s="3" t="s">
        <v>46</v>
      </c>
      <c r="AB1" s="3" t="s">
        <v>23</v>
      </c>
      <c r="AC1" s="3" t="s">
        <v>7</v>
      </c>
      <c r="AD1" s="3" t="s">
        <v>22</v>
      </c>
      <c r="AE1" s="3" t="s">
        <v>8</v>
      </c>
      <c r="AF1" s="3" t="s">
        <v>41</v>
      </c>
      <c r="AG1" s="3" t="s">
        <v>98</v>
      </c>
      <c r="AH1" s="3" t="s">
        <v>40</v>
      </c>
      <c r="AI1" s="3" t="s">
        <v>42</v>
      </c>
      <c r="AJ1" s="3" t="s">
        <v>43</v>
      </c>
    </row>
    <row r="2" spans="1:36" ht="106.8" customHeight="1" x14ac:dyDescent="0.3">
      <c r="A2" s="4" t="s">
        <v>24</v>
      </c>
      <c r="B2" s="4" t="str">
        <f>IF(Table17354[[#This Row],[Fault_Type_sig]]=7,"Balanced Faults",IF(Table17354[[#This Row],[Fault_Type_sig]]=4,"Unbalanced Faults","Plant Trip"))</f>
        <v>Balanced Faults</v>
      </c>
      <c r="C2" s="4" t="s">
        <v>104</v>
      </c>
      <c r="D2" s="4">
        <v>1</v>
      </c>
      <c r="E2" s="4"/>
      <c r="F2" s="4" t="s">
        <v>104</v>
      </c>
      <c r="G2" s="5" t="str">
        <f t="shared" ref="G2:G41" si="0">C2&amp;"_"&amp;TEXT(D2,"000")&amp;IF(E2="","","p"&amp;E2)</f>
        <v>SummerHigh_001</v>
      </c>
      <c r="H2" s="5">
        <v>100</v>
      </c>
      <c r="I2" s="4" t="b">
        <v>1</v>
      </c>
      <c r="J2" s="4" t="b">
        <v>1</v>
      </c>
      <c r="K2" s="4">
        <v>0.43</v>
      </c>
      <c r="L2" s="4">
        <v>0.12</v>
      </c>
      <c r="M2" s="4">
        <v>0.43</v>
      </c>
      <c r="N2" s="4" t="b">
        <v>1</v>
      </c>
      <c r="O2" s="4">
        <v>3</v>
      </c>
      <c r="P2" s="4">
        <v>7</v>
      </c>
      <c r="Q2" s="4">
        <v>5</v>
      </c>
      <c r="R2" s="4">
        <f>IF(Table17354[[#This Row],[CB FAIL SCENARIO]],MAX(Table17354[[#This Row],[NEAR]:[CB FAIL]]),MAX(Table17354[[#This Row],[NEAR]:[FAR]]))</f>
        <v>0.43</v>
      </c>
      <c r="S2" s="4"/>
      <c r="T2" s="4">
        <v>0</v>
      </c>
      <c r="U2" s="4">
        <v>0</v>
      </c>
      <c r="V2" s="4">
        <v>0</v>
      </c>
      <c r="W2" s="4">
        <v>10</v>
      </c>
      <c r="X2" s="4">
        <v>0.99</v>
      </c>
      <c r="Y2" s="4" t="b">
        <v>1</v>
      </c>
      <c r="Z2" s="4" t="b">
        <v>1</v>
      </c>
      <c r="AA2" s="4" t="str">
        <f>"0, AT "&amp;(Table17354[[#This Row],[Fault_Time_sig]])&amp;"s ↑ 1, at "&amp;(Table17354[[#This Row],[Fault_Time_sig]]+Table17354[[#This Row],[Fault_Duration_sig]])&amp;"s ↓ 0"</f>
        <v>0, AT 5s ↑ 1, at 5.43s ↓ 0</v>
      </c>
      <c r="AB2" s="12" t="str">
        <f>"TRIP BRANCH 'SHTS220_GESF220|NEAR' AT "&amp;Table17354[[#This Row],[NEAR]]+Table17354[[#This Row],[Fault_Time_sig]]&amp;"s;
TRIP BRANCH 'SHTS220_GESF220|FAR' AT "&amp;Table17354[[#This Row],[FAR]]+Table17354[[#This Row],[Fault_Time_sig]]&amp;"s;
APPLY FAULT TO BRANCH 'SHTS220_GESF220'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'SHTS220_GESF220|NEAR' AT 5.43s;
TRIP BRANCH 'SHTS220_GESF220|FAR' AT 5.12s;
APPLY FAULT TO BRANCH 'SHTS220_GESF220' AT 5s WITH TYPE=7, RF_OFFSET=0, XF_OFFSET=0, DURATION=0.43s, DISTANCE=0.99</v>
      </c>
      <c r="AC2" s="5">
        <v>20</v>
      </c>
      <c r="AD2" s="6"/>
      <c r="AE2" s="6"/>
      <c r="AF2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5.43s;
TRIP BRANCH 'BAL220_WAR220|FAR' AT 5.12s;
APPLY FAULT TO BRANCH 'BAL220_WAR220' AT 5s WITH TYPE=7, RF_OFFSET=0, XF_OFFSET=0, DURATION=0.43s, DISTANCE=0.99</v>
      </c>
      <c r="AG2" s="6"/>
    </row>
    <row r="3" spans="1:36" ht="216" customHeight="1" x14ac:dyDescent="0.3">
      <c r="A3" s="9" t="s">
        <v>24</v>
      </c>
      <c r="B3" s="4" t="str">
        <f>IF(Table17354[[#This Row],[Fault_Type_sig]]=7,"Balanced Faults",IF(Table17354[[#This Row],[Fault_Type_sig]]=4,"Unbalanced Faults","Plant Trip"))</f>
        <v>Balanced Faults</v>
      </c>
      <c r="C3" s="4" t="s">
        <v>104</v>
      </c>
      <c r="D3" s="9">
        <v>2</v>
      </c>
      <c r="E3" s="9"/>
      <c r="F3" s="4" t="s">
        <v>104</v>
      </c>
      <c r="G3" s="10" t="str">
        <f t="shared" si="0"/>
        <v>SummerHigh_002</v>
      </c>
      <c r="H3" s="5">
        <v>100</v>
      </c>
      <c r="I3" s="9" t="b">
        <v>1</v>
      </c>
      <c r="J3" s="9" t="b">
        <v>1</v>
      </c>
      <c r="K3" s="9">
        <v>0.12</v>
      </c>
      <c r="L3" s="9">
        <v>0.22</v>
      </c>
      <c r="M3" s="9">
        <v>0.43</v>
      </c>
      <c r="N3" s="9" t="b">
        <v>0</v>
      </c>
      <c r="O3" s="9">
        <v>3</v>
      </c>
      <c r="P3" s="9">
        <v>7</v>
      </c>
      <c r="Q3" s="9">
        <v>5</v>
      </c>
      <c r="R3" s="4">
        <f>IF(Table17354[[#This Row],[CB FAIL SCENARIO]],MAX(Table17354[[#This Row],[NEAR]:[CB FAIL]]),MAX(Table17354[[#This Row],[NEAR]:[FAR]]))</f>
        <v>0.22</v>
      </c>
      <c r="S3" s="9"/>
      <c r="T3" s="9">
        <v>0</v>
      </c>
      <c r="U3" s="9">
        <v>0</v>
      </c>
      <c r="V3" s="9">
        <v>0</v>
      </c>
      <c r="W3" s="4">
        <v>10</v>
      </c>
      <c r="X3" s="4">
        <v>0.01</v>
      </c>
      <c r="Y3" s="9" t="b">
        <v>1</v>
      </c>
      <c r="Z3" s="9" t="b">
        <v>1</v>
      </c>
      <c r="AA3" s="17" t="str">
        <f>"0, AT "&amp;(Table17354[[#This Row],[Fault_Time_sig]])&amp;"s ↑ 1, at "&amp;(Table17354[[#This Row],[Fault_Time_sig]]+Table17354[[#This Row],[Fault_Duration_sig]])&amp;"s ↓ 0"</f>
        <v>0, AT 5s ↑ 1, at 5.22s ↓ 0</v>
      </c>
      <c r="AB3" s="14" t="str">
        <f>"TRIP BRANCH 'SHTS220_GESF220|NEAR' AT "&amp;Table17354[[#This Row],[NEAR]]+Table17354[[#This Row],[Fault_Time_sig]]&amp;"s;
TRIP BRANCH 'SHTS220_GESF220|FAR' AT "&amp;Table17354[[#This Row],[FAR]]+Table17354[[#This Row],[Fault_Time_sig]]&amp;"s;
RESTORE BRANCH 'SHTS220_GESF220|NEAR' AT "&amp;Table17354[[#This Row],[NEAR]]+Table17354[[#This Row],[RECLOSE]]+Table17354[[#This Row],[Fault_Time_sig]]&amp;"s;
RESTORE BRANCH 'SHTS220_GESF220|FAR' AT "&amp;Table17354[[#This Row],[NEAR]]+Table17354[[#This Row],[RECLOSE]]+Table17354[[#This Row],[Fault_Time_sig]]&amp;"s;
APPLY FAULT TO BRANCH 'SHTS220_GESF220'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'SHTS220_GESF220|NEAR' AT 5.12s;
TRIP BRANCH 'SHTS220_GESF220|FAR' AT 5.22s;
RESTORE BRANCH 'SHTS220_GESF220|NEAR' AT 8.12s;
RESTORE BRANCH 'SHTS220_GESF220|FAR' AT 8.12s;
APPLY FAULT TO BRANCH 'SHTS220_GESF220' AT 5s WITH TYPE=7, RF_OFFSET=0, XF_OFFSET=0, DURATION=0.22s, DISTANCE=0.01</v>
      </c>
      <c r="AC3" s="5">
        <v>20</v>
      </c>
      <c r="AD3" s="11"/>
      <c r="AE3" s="11"/>
      <c r="AF3" s="1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5.12s;
TRIP BRANCH 'BAL220_WAR220|FAR' AT 5.22s;
APPLY FAULT TO BRANCH 'BAL220_WAR220' AT 5s WITH TYPE=7, RF_OFFSET=0, XF_OFFSET=0, DURATION=0.22s, DISTANCE=0.01</v>
      </c>
      <c r="AG3" s="16"/>
    </row>
    <row r="4" spans="1:36" ht="208.2" customHeight="1" x14ac:dyDescent="0.3">
      <c r="A4" s="9" t="s">
        <v>24</v>
      </c>
      <c r="B4" s="4" t="str">
        <f>IF(Table17354[[#This Row],[Fault_Type_sig]]=7,"Balanced Faults",IF(Table17354[[#This Row],[Fault_Type_sig]]=4,"Unbalanced Faults","Plant Trip"))</f>
        <v>Balanced Faults</v>
      </c>
      <c r="C4" s="4" t="s">
        <v>104</v>
      </c>
      <c r="D4" s="9">
        <v>3</v>
      </c>
      <c r="E4" s="9"/>
      <c r="F4" s="4" t="s">
        <v>104</v>
      </c>
      <c r="G4" s="10" t="str">
        <f t="shared" si="0"/>
        <v>SummerHigh_003</v>
      </c>
      <c r="H4" s="5">
        <v>100</v>
      </c>
      <c r="I4" s="9" t="b">
        <v>1</v>
      </c>
      <c r="J4" s="9" t="b">
        <v>1</v>
      </c>
      <c r="K4" s="9">
        <v>0.43</v>
      </c>
      <c r="L4" s="9">
        <v>0.12</v>
      </c>
      <c r="M4" s="9">
        <v>0.43</v>
      </c>
      <c r="N4" s="4" t="b">
        <v>1</v>
      </c>
      <c r="O4" s="9">
        <v>3</v>
      </c>
      <c r="P4" s="9">
        <v>7</v>
      </c>
      <c r="Q4" s="9">
        <v>5</v>
      </c>
      <c r="R4" s="4">
        <f>IF(Table17354[[#This Row],[CB FAIL SCENARIO]],MAX(Table17354[[#This Row],[NEAR]:[CB FAIL]]),MAX(Table17354[[#This Row],[NEAR]:[FAR]]))</f>
        <v>0.43</v>
      </c>
      <c r="S4" s="9"/>
      <c r="T4" s="9">
        <v>0</v>
      </c>
      <c r="U4" s="9">
        <v>0</v>
      </c>
      <c r="V4" s="9">
        <v>0</v>
      </c>
      <c r="W4" s="4">
        <v>10</v>
      </c>
      <c r="X4" s="4">
        <v>0.99</v>
      </c>
      <c r="Y4" s="9" t="b">
        <v>1</v>
      </c>
      <c r="Z4" s="9" t="b">
        <v>1</v>
      </c>
      <c r="AA4" s="17" t="str">
        <f>"0, AT "&amp;(Table17354[[#This Row],[Fault_Time_sig]])&amp;"s ↑ 1, at "&amp;(Table17354[[#This Row],[Fault_Time_sig]]+Table17354[[#This Row],[Fault_Duration_sig]])&amp;"s ↓ 0"</f>
        <v>0, AT 5s ↑ 1, at 5.43s ↓ 0</v>
      </c>
      <c r="AB4" s="14" t="str">
        <f>"TRIP BRANCH 'DED220_GESF220|NEAR' AT "&amp;Table17354[[#This Row],[NEAR]]+Table17354[[#This Row],[Fault_Time_sig]]&amp;"s;
TRIP BRANCH 'DED220_GESF220|FAR' AT "&amp;Table17354[[#This Row],[FAR]]+Table17354[[#This Row],[Fault_Time_sig]]&amp;"s;
APPLY FAULT TO BRANCH 'DED220_GESF220'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'DED220_GESF220|NEAR' AT 5.43s;
TRIP BRANCH 'DED220_GESF220|FAR' AT 5.12s;
APPLY FAULT TO BRANCH 'DED220_GESF220' AT 5s WITH TYPE=7, RF_OFFSET=0, XF_OFFSET=0, DURATION=0.43s, DISTANCE=0.99</v>
      </c>
      <c r="AC4" s="5">
        <v>20</v>
      </c>
      <c r="AD4" s="11"/>
      <c r="AE4" s="11"/>
      <c r="AF4" s="1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5.43s;
TRIP BRANCH 'BAL220_WAR220|FAR' AT 5.12s;
APPLY FAULT TO BRANCH 'BAL220_WAR220' AT 5s WITH TYPE=7, RF_OFFSET=0, XF_OFFSET=0, DURATION=0.43s, DISTANCE=0.99</v>
      </c>
      <c r="AG4" s="16"/>
    </row>
    <row r="5" spans="1:36" ht="195" customHeight="1" x14ac:dyDescent="0.3">
      <c r="A5" s="9" t="s">
        <v>24</v>
      </c>
      <c r="B5" s="4" t="str">
        <f>IF(Table17354[[#This Row],[Fault_Type_sig]]=7,"Balanced Faults",IF(Table17354[[#This Row],[Fault_Type_sig]]=4,"Unbalanced Faults","Plant Trip"))</f>
        <v>Balanced Faults</v>
      </c>
      <c r="C5" s="4" t="s">
        <v>104</v>
      </c>
      <c r="D5" s="9">
        <v>4</v>
      </c>
      <c r="E5" s="9"/>
      <c r="F5" s="4" t="s">
        <v>104</v>
      </c>
      <c r="G5" s="10" t="str">
        <f t="shared" si="0"/>
        <v>SummerHigh_004</v>
      </c>
      <c r="H5" s="5">
        <v>100</v>
      </c>
      <c r="I5" s="9" t="b">
        <v>1</v>
      </c>
      <c r="J5" s="9" t="b">
        <v>1</v>
      </c>
      <c r="K5" s="9">
        <v>0.12</v>
      </c>
      <c r="L5" s="9">
        <v>0.22</v>
      </c>
      <c r="M5" s="9">
        <v>0.43</v>
      </c>
      <c r="N5" s="9" t="b">
        <v>0</v>
      </c>
      <c r="O5" s="9">
        <v>3</v>
      </c>
      <c r="P5" s="9">
        <v>7</v>
      </c>
      <c r="Q5" s="9">
        <v>5</v>
      </c>
      <c r="R5" s="4">
        <f>IF(Table17354[[#This Row],[CB FAIL SCENARIO]],MAX(Table17354[[#This Row],[NEAR]:[CB FAIL]]),MAX(Table17354[[#This Row],[NEAR]:[FAR]]))</f>
        <v>0.22</v>
      </c>
      <c r="S5" s="9"/>
      <c r="T5" s="9">
        <v>0</v>
      </c>
      <c r="U5" s="9">
        <v>0</v>
      </c>
      <c r="V5" s="9">
        <v>0</v>
      </c>
      <c r="W5" s="4">
        <v>10</v>
      </c>
      <c r="X5" s="4">
        <v>0.01</v>
      </c>
      <c r="Y5" s="9" t="b">
        <v>1</v>
      </c>
      <c r="Z5" s="9" t="b">
        <v>1</v>
      </c>
      <c r="AA5" s="17" t="str">
        <f>"0, AT "&amp;(Table17354[[#This Row],[Fault_Time_sig]])&amp;"s ↑ 1, at "&amp;(Table17354[[#This Row],[Fault_Time_sig]]+Table17354[[#This Row],[Fault_Duration_sig]])&amp;"s ↓ 0"</f>
        <v>0, AT 5s ↑ 1, at 5.22s ↓ 0</v>
      </c>
      <c r="AB5" s="14" t="str">
        <f>"TRIP BRANCH 'DED220_GESF220|NEAR' AT "&amp;Table17354[[#This Row],[NEAR]]+Table17354[[#This Row],[Fault_Time_sig]]&amp;"s;
TRIP BRANCH 'DED220_GESF220|FAR' AT "&amp;Table17354[[#This Row],[FAR]]+Table17354[[#This Row],[Fault_Time_sig]]&amp;"s;
RESTORE BRANCH 'DED220_GESF220|NEAR' AT "&amp;Table17354[[#This Row],[NEAR]]+Table17354[[#This Row],[RECLOSE]]+Table17354[[#This Row],[Fault_Time_sig]]&amp;"s;
RESTORE BRANCH 'DED220_GESF220|FAR' AT "&amp;Table17354[[#This Row],[NEAR]]+Table17354[[#This Row],[RECLOSE]]+Table17354[[#This Row],[Fault_Time_sig]]&amp;"s;
APPLY FAULT TO BRANCH 'DED220_GESF220'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'DED220_GESF220|NEAR' AT 5.12s;
TRIP BRANCH 'DED220_GESF220|FAR' AT 5.22s;
RESTORE BRANCH 'DED220_GESF220|NEAR' AT 8.12s;
RESTORE BRANCH 'DED220_GESF220|FAR' AT 8.12s;
APPLY FAULT TO BRANCH 'DED220_GESF220' AT 5s WITH TYPE=7, RF_OFFSET=0, XF_OFFSET=0, DURATION=0.22s, DISTANCE=0.01</v>
      </c>
      <c r="AC5" s="5">
        <v>20</v>
      </c>
      <c r="AD5" s="11"/>
      <c r="AE5" s="11"/>
      <c r="AF5" s="1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5.12s;
TRIP BRANCH 'BAL220_WAR220|FAR' AT 5.22s;
APPLY FAULT TO BRANCH 'BAL220_WAR220' AT 5s WITH TYPE=7, RF_OFFSET=0, XF_OFFSET=0, DURATION=0.22s, DISTANCE=0.01</v>
      </c>
      <c r="AG5" s="16"/>
    </row>
    <row r="6" spans="1:36" ht="43.2" customHeight="1" x14ac:dyDescent="0.3">
      <c r="A6" s="9" t="s">
        <v>24</v>
      </c>
      <c r="B6" s="4" t="str">
        <f>IF(Table17354[[#This Row],[Fault_Type_sig]]=7,"Balanced Faults",IF(Table17354[[#This Row],[Fault_Type_sig]]=4,"Unbalanced Faults","Plant Trip"))</f>
        <v>Balanced Faults</v>
      </c>
      <c r="C6" s="4" t="s">
        <v>104</v>
      </c>
      <c r="D6" s="9">
        <v>5</v>
      </c>
      <c r="E6" s="9"/>
      <c r="F6" s="4" t="s">
        <v>104</v>
      </c>
      <c r="G6" s="10" t="str">
        <f t="shared" si="0"/>
        <v>SummerHigh_005</v>
      </c>
      <c r="H6" s="5">
        <v>100</v>
      </c>
      <c r="I6" s="9" t="b">
        <v>1</v>
      </c>
      <c r="J6" s="9" t="b">
        <v>1</v>
      </c>
      <c r="K6" s="9">
        <v>0.08</v>
      </c>
      <c r="L6" s="9">
        <v>0.1</v>
      </c>
      <c r="M6" s="9">
        <v>0.17499999999999999</v>
      </c>
      <c r="N6" s="4" t="b">
        <v>0</v>
      </c>
      <c r="O6" s="9">
        <v>3</v>
      </c>
      <c r="P6" s="9">
        <v>7</v>
      </c>
      <c r="Q6" s="9">
        <v>5</v>
      </c>
      <c r="R6" s="4">
        <f>IF(Table17354[[#This Row],[CB FAIL SCENARIO]],MAX(Table17354[[#This Row],[NEAR]:[CB FAIL]]),MAX(Table17354[[#This Row],[NEAR]:[FAR]]))</f>
        <v>0.1</v>
      </c>
      <c r="S6" s="9"/>
      <c r="T6" s="9">
        <v>0</v>
      </c>
      <c r="U6" s="9">
        <v>0</v>
      </c>
      <c r="V6" s="9">
        <v>0</v>
      </c>
      <c r="W6" s="4">
        <v>10</v>
      </c>
      <c r="X6" s="4">
        <v>0.99</v>
      </c>
      <c r="Y6" s="9" t="b">
        <v>1</v>
      </c>
      <c r="Z6" s="9" t="b">
        <v>1</v>
      </c>
      <c r="AA6" s="17" t="str">
        <f>"0, AT "&amp;(Table17354[[#This Row],[Fault_Time_sig]])&amp;"s ↑ 1, at "&amp;(Table17354[[#This Row],[Fault_Time_sig]]+Table17354[[#This Row],[Fault_Duration_sig]])&amp;"s ↓ 0"</f>
        <v>0, AT 5s ↑ 1, at 5.1s ↓ 0</v>
      </c>
      <c r="AB6" s="14" t="str">
        <f>"TRIP BRANCH 'HZ500_SM500|NEAR' AT "&amp;Table17354[[#This Row],[NEAR]]+Table17354[[#This Row],[Fault_Time_sig]]&amp;"s;
TRIP BRANCH 'HZ500_SM500|FAR' AT "&amp;Table17354[[#This Row],[FAR]]+Table17354[[#This Row],[Fault_Time_sig]]&amp;"s;
RESTORE BRANCH 'HZ500_SM500|NEAR' AT "&amp;Table17354[[#This Row],[NEAR]]+Table17354[[#This Row],[RECLOSE]]+Table17354[[#This Row],[Fault_Time_sig]]&amp;"s;
RESTORE BRANCH 'HZ500_SM500|FAR' AT "&amp;Table17354[[#This Row],[NEAR]]+Table17354[[#This Row],[RECLOSE]]+Table17354[[#This Row],[Fault_Time_sig]]&amp;"s;
APPLY FAULT TO BRANCH 'HZ500_SM500'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'HZ500_SM500|NEAR' AT 5.08s;
TRIP BRANCH 'HZ500_SM500|FAR' AT 5.1s;
RESTORE BRANCH 'HZ500_SM500|NEAR' AT 8.08s;
RESTORE BRANCH 'HZ500_SM500|FAR' AT 8.08s;
APPLY FAULT TO BRANCH 'HZ500_SM500' AT 5s WITH TYPE=7, RF_OFFSET=0, XF_OFFSET=0, DURATION=0.1s, DISTANCE=0.99</v>
      </c>
      <c r="AC6" s="5">
        <v>20</v>
      </c>
      <c r="AD6" s="11"/>
      <c r="AE6" s="11"/>
      <c r="AF6" s="1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5.08s;
TRIP BRANCH 'BAL220_WAR220|FAR' AT 5.1s;
APPLY FAULT TO BRANCH 'BAL220_WAR220' AT 5s WITH TYPE=7, RF_OFFSET=0, XF_OFFSET=0, DURATION=0.1s, DISTANCE=0.99</v>
      </c>
      <c r="AG6" s="16"/>
    </row>
    <row r="7" spans="1:36" ht="43.2" customHeight="1" x14ac:dyDescent="0.3">
      <c r="A7" s="9" t="s">
        <v>24</v>
      </c>
      <c r="B7" s="4" t="str">
        <f>IF(Table17354[[#This Row],[Fault_Type_sig]]=7,"Balanced Faults",IF(Table17354[[#This Row],[Fault_Type_sig]]=4,"Unbalanced Faults","Plant Trip"))</f>
        <v>Balanced Faults</v>
      </c>
      <c r="C7" s="4" t="s">
        <v>104</v>
      </c>
      <c r="D7" s="9">
        <v>6</v>
      </c>
      <c r="E7" s="9"/>
      <c r="F7" s="4" t="s">
        <v>104</v>
      </c>
      <c r="G7" s="10" t="str">
        <f t="shared" si="0"/>
        <v>SummerHigh_006</v>
      </c>
      <c r="H7" s="5">
        <v>100</v>
      </c>
      <c r="I7" s="9" t="b">
        <v>1</v>
      </c>
      <c r="J7" s="9" t="b">
        <v>1</v>
      </c>
      <c r="K7" s="9">
        <v>0.17499999999999999</v>
      </c>
      <c r="L7" s="9">
        <v>0.17499999999999999</v>
      </c>
      <c r="M7" s="9">
        <v>0.17499999999999999</v>
      </c>
      <c r="N7" s="9" t="b">
        <v>1</v>
      </c>
      <c r="O7" s="9">
        <v>3</v>
      </c>
      <c r="P7" s="9">
        <v>7</v>
      </c>
      <c r="Q7" s="9">
        <v>5</v>
      </c>
      <c r="R7" s="4">
        <f>IF(Table17354[[#This Row],[CB FAIL SCENARIO]],MAX(Table17354[[#This Row],[NEAR]:[CB FAIL]]),MAX(Table17354[[#This Row],[NEAR]:[FAR]]))</f>
        <v>0.17499999999999999</v>
      </c>
      <c r="S7" s="9"/>
      <c r="T7" s="9">
        <v>0</v>
      </c>
      <c r="U7" s="9">
        <v>0</v>
      </c>
      <c r="V7" s="9">
        <v>0</v>
      </c>
      <c r="W7" s="4">
        <v>10</v>
      </c>
      <c r="X7" s="4">
        <v>0.99</v>
      </c>
      <c r="Y7" s="9" t="b">
        <v>1</v>
      </c>
      <c r="Z7" s="9" t="b">
        <v>1</v>
      </c>
      <c r="AA7" s="17" t="str">
        <f>"0, AT "&amp;(Table17354[[#This Row],[Fault_Time_sig]])&amp;"s ↑ 1, at "&amp;(Table17354[[#This Row],[Fault_Time_sig]]+Table17354[[#This Row],[Fault_Duration_sig]])&amp;"s ↓ 0"</f>
        <v>0, AT 5s ↑ 1, at 5.175s ↓ 0</v>
      </c>
      <c r="AB7" s="14" t="str">
        <f>"TRIP BRANCH 'RO500_SM500|NEAR' AT "&amp;Table17354[[#This Row],[NEAR]]+Table17354[[#This Row],[Fault_Time_sig]]&amp;"s;
TRIP BRANCH 'RO500_SM500|FAR' AT "&amp;Table17354[[#This Row],[FAR]]+Table17354[[#This Row],[Fault_Time_sig]]&amp;"s;
APPLY FAULT TO BRANCH 'RO500_SM500'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'RO500_SM500|NEAR' AT 5.175s;
TRIP BRANCH 'RO500_SM500|FAR' AT 5.175s;
APPLY FAULT TO BRANCH 'RO500_SM500' AT 5s WITH TYPE=7, RF_OFFSET=0, XF_OFFSET=0, DURATION=0.175s, DISTANCE=0.99</v>
      </c>
      <c r="AC7" s="5">
        <v>20</v>
      </c>
      <c r="AD7" s="11"/>
      <c r="AE7" s="11"/>
      <c r="AF7" s="1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5.175s;
TRIP BRANCH 'BAL220_WAR220|FAR' AT 5.175s;
APPLY FAULT TO BRANCH 'BAL220_WAR220' AT 5s WITH TYPE=7, RF_OFFSET=0, XF_OFFSET=0, DURATION=0.175s, DISTANCE=0.99</v>
      </c>
      <c r="AG7" s="16"/>
    </row>
    <row r="8" spans="1:36" ht="43.2" customHeight="1" x14ac:dyDescent="0.3">
      <c r="A8" s="9" t="s">
        <v>24</v>
      </c>
      <c r="B8" s="4" t="str">
        <f>IF(Table17354[[#This Row],[Fault_Type_sig]]=7,"Balanced Faults",IF(Table17354[[#This Row],[Fault_Type_sig]]=4,"Unbalanced Faults","Plant Trip"))</f>
        <v>Balanced Faults</v>
      </c>
      <c r="C8" s="4" t="s">
        <v>104</v>
      </c>
      <c r="D8" s="9">
        <v>7</v>
      </c>
      <c r="E8" s="9"/>
      <c r="F8" s="4" t="s">
        <v>104</v>
      </c>
      <c r="G8" s="10" t="str">
        <f t="shared" si="0"/>
        <v>SummerHigh_007</v>
      </c>
      <c r="H8" s="5">
        <v>100</v>
      </c>
      <c r="I8" s="9" t="b">
        <v>1</v>
      </c>
      <c r="J8" s="9" t="b">
        <v>1</v>
      </c>
      <c r="K8" s="9">
        <v>0.8</v>
      </c>
      <c r="L8" s="9">
        <v>0.1</v>
      </c>
      <c r="M8" s="9">
        <v>0.17499999999999999</v>
      </c>
      <c r="N8" s="9" t="b">
        <v>0</v>
      </c>
      <c r="O8" s="9">
        <v>3</v>
      </c>
      <c r="P8" s="9">
        <v>7</v>
      </c>
      <c r="Q8" s="9">
        <v>5</v>
      </c>
      <c r="R8" s="4">
        <f>IF(Table17354[[#This Row],[CB FAIL SCENARIO]],MAX(Table17354[[#This Row],[NEAR]:[CB FAIL]]),MAX(Table17354[[#This Row],[NEAR]:[FAR]]))</f>
        <v>0.8</v>
      </c>
      <c r="S8" s="9"/>
      <c r="T8" s="9">
        <v>0</v>
      </c>
      <c r="U8" s="9">
        <v>0</v>
      </c>
      <c r="V8" s="9">
        <v>0</v>
      </c>
      <c r="W8" s="4">
        <v>10</v>
      </c>
      <c r="X8" s="4">
        <v>0.99</v>
      </c>
      <c r="Y8" s="9" t="b">
        <v>1</v>
      </c>
      <c r="Z8" s="9" t="b">
        <v>1</v>
      </c>
      <c r="AA8" s="17" t="str">
        <f>"0, AT "&amp;(Table17354[[#This Row],[Fault_Time_sig]])&amp;"s ↑ 1, at "&amp;(Table17354[[#This Row],[Fault_Time_sig]]+Table17354[[#This Row],[Fault_Duration_sig]])&amp;"s ↓ 0"</f>
        <v>0, AT 5s ↑ 1, at 5.8s ↓ 0</v>
      </c>
      <c r="AB8" s="14" t="str">
        <f>"TRIP BRANCH 'KE500_SM500|NEAR' AT "&amp;Table17354[[#This Row],[NEAR]]+Table17354[[#This Row],[Fault_Time_sig]]&amp;"s;
TRIP BRANCH 'KE500_SM500|FAR' AT "&amp;Table17354[[#This Row],[FAR]]+Table17354[[#This Row],[Fault_Time_sig]]&amp;"s;
RESTORE BRANCH 'KE500_SM500|NEAR' AT "&amp;Table17354[[#This Row],[NEAR]]+Table17354[[#This Row],[RECLOSE]]+Table17354[[#This Row],[Fault_Time_sig]]&amp;"s;
RESTORE BRANCH 'KE500_SM500|FAR' AT "&amp;Table17354[[#This Row],[NEAR]]+Table17354[[#This Row],[RECLOSE]]+Table17354[[#This Row],[Fault_Time_sig]]&amp;"s;
APPLY FAULT TO BRANCH 'KE500_SM500'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'KE500_SM500|NEAR' AT 5.8s;
TRIP BRANCH 'KE500_SM500|FAR' AT 5.1s;
RESTORE BRANCH 'KE500_SM500|NEAR' AT 8.8s;
RESTORE BRANCH 'KE500_SM500|FAR' AT 8.8s;
APPLY FAULT TO BRANCH 'KE500_SM500' AT 5s WITH TYPE=7, RF_OFFSET=0, XF_OFFSET=0, DURATION=0.8s, DISTANCE=0.99</v>
      </c>
      <c r="AC8" s="5">
        <v>20</v>
      </c>
      <c r="AD8" s="11"/>
      <c r="AE8" s="11"/>
      <c r="AF8" s="1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5.8s;
TRIP BRANCH 'BAL220_WAR220|FAR' AT 5.1s;
APPLY FAULT TO BRANCH 'BAL220_WAR220' AT 5s WITH TYPE=7, RF_OFFSET=0, XF_OFFSET=0, DURATION=0.8s, DISTANCE=0.99</v>
      </c>
      <c r="AG8" s="16"/>
    </row>
    <row r="9" spans="1:36" ht="43.2" customHeight="1" x14ac:dyDescent="0.3">
      <c r="A9" s="9" t="s">
        <v>24</v>
      </c>
      <c r="B9" s="4" t="str">
        <f>IF(Table17354[[#This Row],[Fault_Type_sig]]=7,"Balanced Faults",IF(Table17354[[#This Row],[Fault_Type_sig]]=4,"Unbalanced Faults","Plant Trip"))</f>
        <v>Balanced Faults</v>
      </c>
      <c r="C9" s="4" t="s">
        <v>104</v>
      </c>
      <c r="D9" s="9">
        <v>8</v>
      </c>
      <c r="E9" s="9"/>
      <c r="F9" s="4" t="s">
        <v>104</v>
      </c>
      <c r="G9" s="10" t="str">
        <f t="shared" si="0"/>
        <v>SummerHigh_008</v>
      </c>
      <c r="H9" s="5">
        <v>100</v>
      </c>
      <c r="I9" s="9" t="b">
        <v>1</v>
      </c>
      <c r="J9" s="9" t="b">
        <v>1</v>
      </c>
      <c r="K9" s="9">
        <v>0.1</v>
      </c>
      <c r="L9" s="9">
        <v>0.12</v>
      </c>
      <c r="M9" s="9">
        <v>0.25</v>
      </c>
      <c r="N9" s="9" t="b">
        <v>0</v>
      </c>
      <c r="O9" s="9">
        <v>3</v>
      </c>
      <c r="P9" s="9">
        <v>7</v>
      </c>
      <c r="Q9" s="9">
        <v>5</v>
      </c>
      <c r="R9" s="4">
        <f>IF(Table17354[[#This Row],[CB FAIL SCENARIO]],MAX(Table17354[[#This Row],[NEAR]:[CB FAIL]]),MAX(Table17354[[#This Row],[NEAR]:[FAR]]))</f>
        <v>0.12</v>
      </c>
      <c r="S9" s="9"/>
      <c r="T9" s="9">
        <v>0</v>
      </c>
      <c r="U9" s="9">
        <v>0</v>
      </c>
      <c r="V9" s="9">
        <v>0</v>
      </c>
      <c r="W9" s="4">
        <v>10</v>
      </c>
      <c r="X9" s="4">
        <v>0.01</v>
      </c>
      <c r="Y9" s="9" t="b">
        <v>1</v>
      </c>
      <c r="Z9" s="9" t="b">
        <v>1</v>
      </c>
      <c r="AA9" s="17" t="str">
        <f>"0, AT "&amp;(Table17354[[#This Row],[Fault_Time_sig]])&amp;"s ↑ 1, at "&amp;(Table17354[[#This Row],[Fault_Time_sig]]+Table17354[[#This Row],[Fault_Duration_sig]])&amp;"s ↓ 0"</f>
        <v>0, AT 5s ↑ 1, at 5.12s ↓ 0</v>
      </c>
      <c r="AB9" s="14" t="str">
        <f>"TRIP BRANCH 'DE330_WO330|NEAR' AT "&amp;Table17354[[#This Row],[NEAR]]+Table17354[[#This Row],[Fault_Time_sig]]&amp;"s;
TRIP BRANCH 'DE330_WO330|FAR' AT "&amp;Table17354[[#This Row],[FAR]]+Table17354[[#This Row],[Fault_Time_sig]]&amp;"s;
APPLY FAULT TO BRANCH 'DE330_WO330'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'DE330_WO330|NEAR' AT 5.1s;
TRIP BRANCH 'DE330_WO330|FAR' AT 5.12s;
APPLY FAULT TO BRANCH 'DE330_WO330' AT 5s WITH TYPE=7, RF_OFFSET=0, XF_OFFSET=0, DURATION=0.12s, DISTANCE=0.01</v>
      </c>
      <c r="AC9" s="5">
        <v>20</v>
      </c>
      <c r="AD9" s="11"/>
      <c r="AE9" s="11"/>
      <c r="AF9" s="1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5.1s;
TRIP BRANCH 'BAL220_WAR220|FAR' AT 5.12s;
APPLY FAULT TO BRANCH 'BAL220_WAR220' AT 5s WITH TYPE=7, RF_OFFSET=0, XF_OFFSET=0, DURATION=0.12s, DISTANCE=0.01</v>
      </c>
      <c r="AG9" s="16"/>
    </row>
    <row r="10" spans="1:36" ht="43.2" customHeight="1" x14ac:dyDescent="0.3">
      <c r="A10" s="9" t="s">
        <v>24</v>
      </c>
      <c r="B10" s="4" t="str">
        <f>IF(Table17354[[#This Row],[Fault_Type_sig]]=7,"Balanced Faults",IF(Table17354[[#This Row],[Fault_Type_sig]]=4,"Unbalanced Faults","Plant Trip"))</f>
        <v>Balanced Faults</v>
      </c>
      <c r="C10" s="4" t="s">
        <v>104</v>
      </c>
      <c r="D10" s="9">
        <v>9</v>
      </c>
      <c r="E10" s="9"/>
      <c r="F10" s="4" t="s">
        <v>104</v>
      </c>
      <c r="G10" s="10" t="str">
        <f t="shared" si="0"/>
        <v>SummerHigh_009</v>
      </c>
      <c r="H10" s="5">
        <v>100</v>
      </c>
      <c r="I10" s="9" t="b">
        <v>1</v>
      </c>
      <c r="J10" s="9" t="b">
        <v>1</v>
      </c>
      <c r="K10" s="9">
        <v>0.1</v>
      </c>
      <c r="L10" s="9">
        <v>0.12</v>
      </c>
      <c r="M10" s="9">
        <v>0.25</v>
      </c>
      <c r="N10" s="9" t="b">
        <v>0</v>
      </c>
      <c r="O10" s="9">
        <v>3</v>
      </c>
      <c r="P10" s="9">
        <v>7</v>
      </c>
      <c r="Q10" s="9">
        <v>5</v>
      </c>
      <c r="R10" s="4">
        <f>IF(Table17354[[#This Row],[CB FAIL SCENARIO]],MAX(Table17354[[#This Row],[NEAR]:[CB FAIL]]),MAX(Table17354[[#This Row],[NEAR]:[FAR]]))</f>
        <v>0.12</v>
      </c>
      <c r="S10" s="9"/>
      <c r="T10" s="9">
        <v>0</v>
      </c>
      <c r="U10" s="9">
        <v>0</v>
      </c>
      <c r="V10" s="9">
        <v>0</v>
      </c>
      <c r="W10" s="4">
        <v>10</v>
      </c>
      <c r="X10" s="4">
        <v>0.99</v>
      </c>
      <c r="Y10" s="9" t="b">
        <v>1</v>
      </c>
      <c r="Z10" s="9" t="b">
        <v>1</v>
      </c>
      <c r="AA10" s="17" t="str">
        <f>"0, AT "&amp;(Table17354[[#This Row],[Fault_Time_sig]])&amp;"s ↑ 1, at "&amp;(Table17354[[#This Row],[Fault_Time_sig]]+Table17354[[#This Row],[Fault_Duration_sig]])&amp;"s ↓ 0"</f>
        <v>0, AT 5s ↑ 1, at 5.12s ↓ 0</v>
      </c>
      <c r="AB10" s="14" t="str">
        <f>"TRIP BRANCH 'DE330_WO330|NEAR' AT "&amp;Table17354[[#This Row],[NEAR]]+Table17354[[#This Row],[Fault_Time_sig]]&amp;"s;
TRIP BRANCH 'DE330_WO330|FAR' AT "&amp;Table17354[[#This Row],[FAR]]+Table17354[[#This Row],[Fault_Time_sig]]&amp;"s;
RESTORE BRANCH 'DE330_WO330|NEAR' AT "&amp;Table17354[[#This Row],[NEAR]]+Table17354[[#This Row],[RECLOSE]]+Table17354[[#This Row],[Fault_Time_sig]]&amp;"s;
RESTORE BRANCH 'DE330_WO330|FAR' AT "&amp;Table17354[[#This Row],[NEAR]]+Table17354[[#This Row],[RECLOSE]]+Table17354[[#This Row],[Fault_Time_sig]]&amp;"s;
APPLY FAULT TO BRANCH 'DE330_WO330' AT "&amp;Table17354[[#This Row],[Fault_Time_sig]]&amp;"s WITH "
&amp;"TYPE="&amp;Table17354[[#This Row],[Fault_Type_sig]]
&amp;IF(Table17354[[#This Row],[Fault_Duration_sig]]="","",", DURATION="&amp;Table17354[[#This Row],[Fault_Duration_sig]]&amp;"s")
&amp;IF(Table17354[[#This Row],[Distance]]="","",", DISTANCE="&amp;Table17354[[#This Row],[Distance]])</f>
        <v>TRIP BRANCH 'DE330_WO330|NEAR' AT 5.1s;
TRIP BRANCH 'DE330_WO330|FAR' AT 5.12s;
RESTORE BRANCH 'DE330_WO330|NEAR' AT 8.1s;
RESTORE BRANCH 'DE330_WO330|FAR' AT 8.1s;
APPLY FAULT TO BRANCH 'DE330_WO330' AT 5s WITH TYPE=7, DURATION=0.12s, DISTANCE=0.99</v>
      </c>
      <c r="AC10" s="5">
        <v>20</v>
      </c>
      <c r="AD10" s="6"/>
      <c r="AE10" s="6"/>
      <c r="AF10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5.1s;
TRIP BRANCH 'BAL220_WAR220|FAR' AT 5.12s;
APPLY FAULT TO BRANCH 'BAL220_WAR220' AT 5s WITH TYPE=7, RF_OFFSET=0, XF_OFFSET=0, DURATION=0.12s, DISTANCE=0.99</v>
      </c>
      <c r="AG10" s="6"/>
    </row>
    <row r="11" spans="1:36" ht="58.2" customHeight="1" x14ac:dyDescent="0.3">
      <c r="A11" s="9" t="s">
        <v>24</v>
      </c>
      <c r="B11" s="4" t="str">
        <f>IF(Table17354[[#This Row],[Fault_Type_sig]]=7,"Balanced Faults",IF(Table17354[[#This Row],[Fault_Type_sig]]=4,"Unbalanced Faults","Plant Trip"))</f>
        <v>Balanced Faults</v>
      </c>
      <c r="C11" s="4" t="s">
        <v>104</v>
      </c>
      <c r="D11" s="9">
        <v>10</v>
      </c>
      <c r="E11" s="9"/>
      <c r="F11" s="4" t="s">
        <v>104</v>
      </c>
      <c r="G11" s="10" t="str">
        <f t="shared" si="0"/>
        <v>SummerHigh_010</v>
      </c>
      <c r="H11" s="5">
        <v>100</v>
      </c>
      <c r="I11" s="9" t="b">
        <v>1</v>
      </c>
      <c r="J11" s="9" t="b">
        <v>1</v>
      </c>
      <c r="K11" s="9">
        <v>0.1</v>
      </c>
      <c r="L11" s="9">
        <v>0.12</v>
      </c>
      <c r="M11" s="9">
        <v>0.25</v>
      </c>
      <c r="N11" s="9" t="b">
        <v>0</v>
      </c>
      <c r="O11" s="9">
        <v>3</v>
      </c>
      <c r="P11" s="9">
        <v>7</v>
      </c>
      <c r="Q11" s="9">
        <v>5</v>
      </c>
      <c r="R11" s="4">
        <f>IF(Table17354[[#This Row],[CB FAIL SCENARIO]],MAX(Table17354[[#This Row],[NEAR]:[CB FAIL]]),MAX(Table17354[[#This Row],[NEAR]:[FAR]]))</f>
        <v>0.12</v>
      </c>
      <c r="S11" s="9"/>
      <c r="T11" s="9">
        <v>0</v>
      </c>
      <c r="U11" s="9">
        <v>0</v>
      </c>
      <c r="V11" s="9">
        <v>0</v>
      </c>
      <c r="W11" s="4">
        <v>10</v>
      </c>
      <c r="X11" s="4">
        <v>0.99</v>
      </c>
      <c r="Y11" s="9" t="b">
        <v>1</v>
      </c>
      <c r="Z11" s="9" t="b">
        <v>1</v>
      </c>
      <c r="AA11" s="17" t="str">
        <f>"0, AT "&amp;(Table17354[[#This Row],[Fault_Time_sig]])&amp;"s ↑ 1, at "&amp;(Table17354[[#This Row],[Fault_Time_sig]]+Table17354[[#This Row],[Fault_Duration_sig]])&amp;"s ↓ 0"</f>
        <v>0, AT 5s ↑ 1, at 5.12s ↓ 0</v>
      </c>
      <c r="AB11" s="13" t="str">
        <f>"TRIP BRANCH 'JIN330_WO330|NEAR' AT "&amp;Table17354[[#This Row],[NEAR]]+Table17354[[#This Row],[Fault_Time_sig]]&amp;"s;
TRIP BRANCH 'JIN330_WO330|FAR' AT "&amp;Table17354[[#This Row],[FAR]]+Table17354[[#This Row],[Fault_Time_sig]]&amp;"s;
RESTORE BRANCH 'JIN330_WO330|NEAR' AT "&amp;Table17354[[#This Row],[NEAR]]+Table17354[[#This Row],[RECLOSE]]+Table17354[[#This Row],[Fault_Time_sig]]&amp;"s;
RESTORE BRANCH 'JIN330_WO330|FAR' AT "&amp;Table17354[[#This Row],[NEAR]]+Table17354[[#This Row],[RECLOSE]]+Table17354[[#This Row],[Fault_Time_sig]]&amp;"s;
APPLY FAULT TO BRANCH 'JIN330_WO330'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'JIN330_WO330|NEAR' AT 5.1s;
TRIP BRANCH 'JIN330_WO330|FAR' AT 5.12s;
RESTORE BRANCH 'JIN330_WO330|NEAR' AT 8.1s;
RESTORE BRANCH 'JIN330_WO330|FAR' AT 8.1s;
APPLY FAULT TO BRANCH 'JIN330_WO330' AT 5s WITH TYPE=7, RF_OFFSET=0, XF_OFFSET=0, DURATION=0.12s, DISTANCE=0.99</v>
      </c>
      <c r="AC11" s="5">
        <v>20</v>
      </c>
      <c r="AD11" s="6"/>
      <c r="AE11" s="6"/>
      <c r="AF11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5.1s;
TRIP BRANCH 'BAL220_WAR220|FAR' AT 5.12s;
APPLY FAULT TO BRANCH 'BAL220_WAR220' AT 5s WITH TYPE=7, RF_OFFSET=0, XF_OFFSET=0, DURATION=0.12s, DISTANCE=0.99</v>
      </c>
      <c r="AG11" s="6"/>
    </row>
    <row r="12" spans="1:36" ht="80.400000000000006" customHeight="1" x14ac:dyDescent="0.3">
      <c r="A12" s="9" t="s">
        <v>24</v>
      </c>
      <c r="B12" s="4" t="str">
        <f>IF(Table17354[[#This Row],[Fault_Type_sig]]=7,"Balanced Faults",IF(Table17354[[#This Row],[Fault_Type_sig]]=4,"Unbalanced Faults","Plant Trip"))</f>
        <v>Balanced Faults</v>
      </c>
      <c r="C12" s="4" t="s">
        <v>104</v>
      </c>
      <c r="D12" s="9">
        <v>11</v>
      </c>
      <c r="E12" s="9"/>
      <c r="F12" s="4" t="s">
        <v>104</v>
      </c>
      <c r="G12" s="10" t="str">
        <f t="shared" si="0"/>
        <v>SummerHigh_011</v>
      </c>
      <c r="H12" s="5">
        <v>100</v>
      </c>
      <c r="I12" s="9" t="b">
        <v>1</v>
      </c>
      <c r="J12" s="9" t="b">
        <v>1</v>
      </c>
      <c r="K12" s="9">
        <v>0.25</v>
      </c>
      <c r="L12" s="9">
        <v>0.25</v>
      </c>
      <c r="M12" s="9">
        <v>0.25</v>
      </c>
      <c r="N12" s="9" t="b">
        <v>1</v>
      </c>
      <c r="O12" s="9">
        <v>3</v>
      </c>
      <c r="P12" s="9">
        <v>7</v>
      </c>
      <c r="Q12" s="9">
        <v>5</v>
      </c>
      <c r="R12" s="4">
        <f>IF(Table17354[[#This Row],[CB FAIL SCENARIO]],MAX(Table17354[[#This Row],[NEAR]:[CB FAIL]]),MAX(Table17354[[#This Row],[NEAR]:[FAR]]))</f>
        <v>0.25</v>
      </c>
      <c r="S12" s="9"/>
      <c r="T12" s="9">
        <v>0</v>
      </c>
      <c r="U12" s="9">
        <v>0</v>
      </c>
      <c r="V12" s="9">
        <v>0</v>
      </c>
      <c r="W12" s="4">
        <v>10</v>
      </c>
      <c r="X12" s="4">
        <v>0.01</v>
      </c>
      <c r="Y12" s="9" t="b">
        <v>1</v>
      </c>
      <c r="Z12" s="9" t="b">
        <v>1</v>
      </c>
      <c r="AA12" s="17" t="str">
        <f>"0, AT "&amp;(Table17354[[#This Row],[Fault_Time_sig]])&amp;"s ↑ 1, at "&amp;(Table17354[[#This Row],[Fault_Time_sig]]+Table17354[[#This Row],[Fault_Duration_sig]])&amp;"s ↓ 0"</f>
        <v>0, AT 5s ↑ 1, at 5.25s ↓ 0</v>
      </c>
      <c r="AB12" s="13" t="str">
        <f>"TRIP BRANCH 'DED330_MUR330|NEAR' AT "&amp;Table17354[[#This Row],[NEAR]]+Table17354[[#This Row],[Fault_Time_sig]]&amp;"s;
TRIP BRANCH 'DED330_MUR330|FAR' AT "&amp;Table17354[[#This Row],[FAR]]+Table17354[[#This Row],[Fault_Time_sig]]&amp;"s;
APPLY FAULT TO BRANCH 'DED330_MUR330'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'DED330_MUR330|NEAR' AT 5.25s;
TRIP BRANCH 'DED330_MUR330|FAR' AT 5.25s;
APPLY FAULT TO BRANCH 'DED330_MUR330' AT 5s WITH TYPE=7, RF_OFFSET=0, XF_OFFSET=0, DURATION=0.25s, DISTANCE=0.01</v>
      </c>
      <c r="AC12" s="5">
        <v>20</v>
      </c>
      <c r="AD12" s="6"/>
      <c r="AE12" s="6"/>
      <c r="AF12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5.25s;
TRIP BRANCH 'BAL220_WAR220|FAR' AT 5.25s;
APPLY FAULT TO BRANCH 'BAL220_WAR220' AT 5s WITH TYPE=7, RF_OFFSET=0, XF_OFFSET=0, DURATION=0.25s, DISTANCE=0.01</v>
      </c>
      <c r="AG12" s="6" t="s">
        <v>99</v>
      </c>
      <c r="AH12" s="13" t="str">
        <f>"TRIP BRANCH 'DEDTXDUMMY|NEAR' AT "&amp;10+Table17354[[#This Row],[Fault_Time_sig]]&amp;"s;
TRIP BRANCH 'DEDTXDUMMY|FAR' AT "&amp;10+Table17354[[#This Row],[Fault_Time_sig]]&amp;"s;
TRIP BRANCH 'DEDTXDUMMY2|NEAR' AT "&amp;10+Table17354[[#This Row],[Fault_Time_sig]]&amp;"s;
TRIP BRANCH 'DEDTXDUMMY2|FAR' AT "&amp;10+Table17354[[#This Row],[Fault_Time_sig]]&amp;"s;
TRIP BRANCH 'DED330_MUR330No2|NEAR' AT "&amp;10+Table17354[[#This Row],[Fault_Time_sig]]&amp;"s;
TRIP BRANCH 'DED330_MUR330No2|FAR' AT "&amp;10+Table17354[[#This Row],[Fault_Time_sig]]&amp;"s"</f>
        <v>TRIP BRANCH 'DEDTXDUMMY|NEAR' AT 15s;
TRIP BRANCH 'DEDTXDUMMY|FAR' AT 15s;
TRIP BRANCH 'DEDTXDUMMY2|NEAR' AT 15s;
TRIP BRANCH 'DEDTXDUMMY2|FAR' AT 15s;
TRIP BRANCH 'DED330_MUR330No2|NEAR' AT 15s;
TRIP BRANCH 'DED330_MUR330No2|FAR' AT 15s</v>
      </c>
    </row>
    <row r="13" spans="1:36" ht="43.2" customHeight="1" x14ac:dyDescent="0.3">
      <c r="A13" s="9" t="s">
        <v>24</v>
      </c>
      <c r="B13" s="4" t="str">
        <f>IF(Table17354[[#This Row],[Fault_Type_sig]]=7,"Balanced Faults",IF(Table17354[[#This Row],[Fault_Type_sig]]=4,"Unbalanced Faults","Plant Trip"))</f>
        <v>Balanced Faults</v>
      </c>
      <c r="C13" s="4" t="s">
        <v>104</v>
      </c>
      <c r="D13" s="9">
        <v>12</v>
      </c>
      <c r="E13" s="9"/>
      <c r="F13" s="4" t="s">
        <v>104</v>
      </c>
      <c r="G13" s="10" t="str">
        <f t="shared" si="0"/>
        <v>SummerHigh_012</v>
      </c>
      <c r="H13" s="5">
        <v>100</v>
      </c>
      <c r="I13" s="9" t="b">
        <v>1</v>
      </c>
      <c r="J13" s="9" t="b">
        <v>1</v>
      </c>
      <c r="K13" s="9">
        <v>0.1</v>
      </c>
      <c r="L13" s="9">
        <v>0.12</v>
      </c>
      <c r="M13" s="9">
        <v>0.25</v>
      </c>
      <c r="N13" s="9" t="b">
        <v>0</v>
      </c>
      <c r="O13" s="9">
        <v>3</v>
      </c>
      <c r="P13" s="9">
        <v>7</v>
      </c>
      <c r="Q13" s="9">
        <v>5</v>
      </c>
      <c r="R13" s="4">
        <f>IF(Table17354[[#This Row],[CB FAIL SCENARIO]],MAX(Table17354[[#This Row],[NEAR]:[CB FAIL]]),MAX(Table17354[[#This Row],[NEAR]:[FAR]]))</f>
        <v>0.12</v>
      </c>
      <c r="S13" s="9"/>
      <c r="T13" s="9">
        <v>0</v>
      </c>
      <c r="U13" s="9">
        <v>0</v>
      </c>
      <c r="V13" s="9">
        <v>0</v>
      </c>
      <c r="W13" s="4">
        <v>10</v>
      </c>
      <c r="X13" s="4">
        <v>0.01</v>
      </c>
      <c r="Y13" s="9" t="b">
        <v>1</v>
      </c>
      <c r="Z13" s="9" t="b">
        <v>1</v>
      </c>
      <c r="AA13" s="17" t="str">
        <f>"0, AT "&amp;(Table17354[[#This Row],[Fault_Time_sig]])&amp;"s ↑ 1, at "&amp;(Table17354[[#This Row],[Fault_Time_sig]]+Table17354[[#This Row],[Fault_Duration_sig]])&amp;"s ↓ 0"</f>
        <v>0, AT 5s ↑ 1, at 5.12s ↓ 0</v>
      </c>
      <c r="AB13" s="13" t="str">
        <f>"TRIP BRANCH 'DED330_SM330|NEAR' AT "&amp;Table17354[[#This Row],[NEAR]]+Table17354[[#This Row],[Fault_Time_sig]]&amp;"s;
TRIP BRANCH 'DED330_SM330|FAR' AT "&amp;Table17354[[#This Row],[FAR]]+Table17354[[#This Row],[Fault_Time_sig]]&amp;"s;
APPLY FAULT TO BRANCH 'DED330_SM330'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'DED330_SM330|NEAR' AT 5.1s;
TRIP BRANCH 'DED330_SM330|FAR' AT 5.12s;
APPLY FAULT TO BRANCH 'DED330_SM330' AT 5s WITH TYPE=7, RF_OFFSET=0, XF_OFFSET=0, DURATION=0.12s, DISTANCE=0.01</v>
      </c>
      <c r="AC13" s="5">
        <v>20</v>
      </c>
      <c r="AD13" s="6"/>
      <c r="AE13" s="6"/>
      <c r="AF13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5.1s;
TRIP BRANCH 'BAL220_WAR220|FAR' AT 5.12s;
APPLY FAULT TO BRANCH 'BAL220_WAR220' AT 5s WITH TYPE=7, RF_OFFSET=0, XF_OFFSET=0, DURATION=0.12s, DISTANCE=0.01</v>
      </c>
      <c r="AG13" s="6"/>
    </row>
    <row r="14" spans="1:36" ht="43.2" customHeight="1" x14ac:dyDescent="0.3">
      <c r="A14" s="9" t="s">
        <v>24</v>
      </c>
      <c r="B14" s="4" t="str">
        <f>IF(Table17354[[#This Row],[Fault_Type_sig]]=7,"Balanced Faults",IF(Table17354[[#This Row],[Fault_Type_sig]]=4,"Unbalanced Faults","Plant Trip"))</f>
        <v>Balanced Faults</v>
      </c>
      <c r="C14" s="4" t="s">
        <v>104</v>
      </c>
      <c r="D14" s="9">
        <v>13</v>
      </c>
      <c r="E14" s="9"/>
      <c r="F14" s="4" t="s">
        <v>104</v>
      </c>
      <c r="G14" s="10" t="str">
        <f t="shared" si="0"/>
        <v>SummerHigh_013</v>
      </c>
      <c r="H14" s="5">
        <v>100</v>
      </c>
      <c r="I14" s="9" t="b">
        <v>1</v>
      </c>
      <c r="J14" s="9" t="b">
        <v>1</v>
      </c>
      <c r="K14" s="9">
        <v>0.25</v>
      </c>
      <c r="L14" s="9">
        <v>0.25</v>
      </c>
      <c r="M14" s="9">
        <v>0.25</v>
      </c>
      <c r="N14" s="9" t="b">
        <v>1</v>
      </c>
      <c r="O14" s="9">
        <v>3</v>
      </c>
      <c r="P14" s="9">
        <v>7</v>
      </c>
      <c r="Q14" s="9">
        <v>5</v>
      </c>
      <c r="R14" s="4">
        <f>IF(Table17354[[#This Row],[CB FAIL SCENARIO]],MAX(Table17354[[#This Row],[NEAR]:[CB FAIL]]),MAX(Table17354[[#This Row],[NEAR]:[FAR]]))</f>
        <v>0.25</v>
      </c>
      <c r="S14" s="9"/>
      <c r="T14" s="9">
        <v>0</v>
      </c>
      <c r="U14" s="9">
        <v>0</v>
      </c>
      <c r="V14" s="9">
        <v>0</v>
      </c>
      <c r="W14" s="4">
        <v>10</v>
      </c>
      <c r="X14" s="4">
        <v>0.99</v>
      </c>
      <c r="Y14" s="9" t="b">
        <v>1</v>
      </c>
      <c r="Z14" s="9" t="b">
        <v>1</v>
      </c>
      <c r="AA14" s="17" t="str">
        <f>"0, AT "&amp;(Table17354[[#This Row],[Fault_Time_sig]])&amp;"s ↑ 1, at "&amp;(Table17354[[#This Row],[Fault_Time_sig]]+Table17354[[#This Row],[Fault_Duration_sig]])&amp;"s ↓ 0"</f>
        <v>0, AT 5s ↑ 1, at 5.25s ↓ 0</v>
      </c>
      <c r="AB14" s="13" t="str">
        <f>"TRIP BRANCH 'LWTM330_MUR330|NEAR' AT "&amp;Table17354[[#This Row],[NEAR]]+Table17354[[#This Row],[Fault_Time_sig]]&amp;"s;
TRIP BRANCH 'LWTM330_MUR330|FAR' AT "&amp;Table17354[[#This Row],[FAR]]+Table17354[[#This Row],[Fault_Time_sig]]&amp;"s;
APPLY FAULT TO BRANCH 'LWTM330_MUR330'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'LWTM330_MUR330|NEAR' AT 5.25s;
TRIP BRANCH 'LWTM330_MUR330|FAR' AT 5.25s;
APPLY FAULT TO BRANCH 'LWTM330_MUR330' AT 5s WITH TYPE=7, RF_OFFSET=0, XF_OFFSET=0, DURATION=0.25s, DISTANCE=0.99</v>
      </c>
      <c r="AC14" s="5">
        <v>20</v>
      </c>
      <c r="AD14" s="6"/>
      <c r="AE14" s="6"/>
      <c r="AF14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5.25s;
TRIP BRANCH 'BAL220_WAR220|FAR' AT 5.25s;
APPLY FAULT TO BRANCH 'BAL220_WAR220' AT 5s WITH TYPE=7, RF_OFFSET=0, XF_OFFSET=0, DURATION=0.25s, DISTANCE=0.99</v>
      </c>
      <c r="AG14" s="6"/>
    </row>
    <row r="15" spans="1:36" ht="43.2" customHeight="1" x14ac:dyDescent="0.3">
      <c r="A15" s="9" t="s">
        <v>24</v>
      </c>
      <c r="B15" s="4" t="str">
        <f>IF(Table17354[[#This Row],[Fault_Type_sig]]=7,"Balanced Faults",IF(Table17354[[#This Row],[Fault_Type_sig]]=4,"Unbalanced Faults","Plant Trip"))</f>
        <v>Balanced Faults</v>
      </c>
      <c r="C15" s="4" t="s">
        <v>104</v>
      </c>
      <c r="D15" s="9">
        <v>14</v>
      </c>
      <c r="E15" s="9"/>
      <c r="F15" s="4" t="s">
        <v>104</v>
      </c>
      <c r="G15" s="10" t="str">
        <f t="shared" si="0"/>
        <v>SummerHigh_014</v>
      </c>
      <c r="H15" s="5">
        <v>100</v>
      </c>
      <c r="I15" s="9" t="b">
        <v>1</v>
      </c>
      <c r="J15" s="9" t="b">
        <v>1</v>
      </c>
      <c r="K15" s="9">
        <v>0.1</v>
      </c>
      <c r="L15" s="9">
        <v>0.12</v>
      </c>
      <c r="M15" s="9">
        <v>0.25</v>
      </c>
      <c r="N15" s="9" t="b">
        <v>0</v>
      </c>
      <c r="O15" s="9">
        <v>3</v>
      </c>
      <c r="P15" s="9">
        <v>7</v>
      </c>
      <c r="Q15" s="9">
        <v>5</v>
      </c>
      <c r="R15" s="4">
        <f>IF(Table17354[[#This Row],[CB FAIL SCENARIO]],MAX(Table17354[[#This Row],[NEAR]:[CB FAIL]]),MAX(Table17354[[#This Row],[NEAR]:[FAR]]))</f>
        <v>0.12</v>
      </c>
      <c r="S15" s="9"/>
      <c r="T15" s="9">
        <v>0</v>
      </c>
      <c r="U15" s="9">
        <v>0</v>
      </c>
      <c r="V15" s="9">
        <v>0</v>
      </c>
      <c r="W15" s="4">
        <v>10</v>
      </c>
      <c r="X15" s="4">
        <v>0.99</v>
      </c>
      <c r="Y15" s="9" t="b">
        <v>1</v>
      </c>
      <c r="Z15" s="9" t="b">
        <v>1</v>
      </c>
      <c r="AA15" s="17" t="str">
        <f>"0, AT "&amp;(Table17354[[#This Row],[Fault_Time_sig]])&amp;"s ↑ 1, at "&amp;(Table17354[[#This Row],[Fault_Time_sig]]+Table17354[[#This Row],[Fault_Duration_sig]])&amp;"s ↓ 0"</f>
        <v>0, AT 5s ↑ 1, at 5.12s ↓ 0</v>
      </c>
      <c r="AB15" s="13" t="str">
        <f>"TRIP BRANCH 'LWTM330_UPTM330|NEAR' AT "&amp;Table17354[[#This Row],[NEAR]]+Table17354[[#This Row],[Fault_Time_sig]]&amp;"s;
TRIP BRANCH 'LWTM330_UPTM330|FAR' AT "&amp;Table17354[[#This Row],[FAR]]+Table17354[[#This Row],[Fault_Time_sig]]&amp;"s;
APPLY FAULT TO BRANCH 'LWTM330_UPTM330'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'LWTM330_UPTM330|NEAR' AT 5.1s;
TRIP BRANCH 'LWTM330_UPTM330|FAR' AT 5.12s;
APPLY FAULT TO BRANCH 'LWTM330_UPTM330' AT 5s WITH TYPE=7, RF_OFFSET=0, XF_OFFSET=0, DURATION=0.12s, DISTANCE=0.99</v>
      </c>
      <c r="AC15" s="5">
        <v>20</v>
      </c>
      <c r="AD15" s="6"/>
      <c r="AE15" s="6"/>
      <c r="AF15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5.1s;
TRIP BRANCH 'BAL220_WAR220|FAR' AT 5.12s;
APPLY FAULT TO BRANCH 'BAL220_WAR220' AT 5s WITH TYPE=7, RF_OFFSET=0, XF_OFFSET=0, DURATION=0.12s, DISTANCE=0.99</v>
      </c>
      <c r="AG15" s="6"/>
    </row>
    <row r="16" spans="1:36" ht="43.2" customHeight="1" x14ac:dyDescent="0.3">
      <c r="A16" s="9" t="s">
        <v>24</v>
      </c>
      <c r="B16" s="4" t="str">
        <f>IF(Table17354[[#This Row],[Fault_Type_sig]]=7,"Balanced Faults",IF(Table17354[[#This Row],[Fault_Type_sig]]=4,"Unbalanced Faults","Plant Trip"))</f>
        <v>Balanced Faults</v>
      </c>
      <c r="C16" s="4" t="s">
        <v>104</v>
      </c>
      <c r="D16" s="9">
        <v>15</v>
      </c>
      <c r="E16" s="9"/>
      <c r="F16" s="4" t="s">
        <v>104</v>
      </c>
      <c r="G16" s="10" t="str">
        <f t="shared" si="0"/>
        <v>SummerHigh_015</v>
      </c>
      <c r="H16" s="5">
        <v>100</v>
      </c>
      <c r="I16" s="9" t="b">
        <v>1</v>
      </c>
      <c r="J16" s="9" t="b">
        <v>1</v>
      </c>
      <c r="K16" s="9">
        <v>0.12</v>
      </c>
      <c r="L16" s="9">
        <v>0.22</v>
      </c>
      <c r="M16" s="9">
        <v>0.43</v>
      </c>
      <c r="N16" s="9" t="b">
        <v>0</v>
      </c>
      <c r="O16" s="9">
        <v>3</v>
      </c>
      <c r="P16" s="9">
        <v>7</v>
      </c>
      <c r="Q16" s="9">
        <v>5</v>
      </c>
      <c r="R16" s="4">
        <f>IF(Table17354[[#This Row],[CB FAIL SCENARIO]],MAX(Table17354[[#This Row],[NEAR]:[CB FAIL]]),MAX(Table17354[[#This Row],[NEAR]:[FAR]]))</f>
        <v>0.22</v>
      </c>
      <c r="S16" s="9"/>
      <c r="T16" s="9">
        <v>0</v>
      </c>
      <c r="U16" s="9">
        <v>0</v>
      </c>
      <c r="V16" s="9">
        <v>0</v>
      </c>
      <c r="W16" s="4">
        <v>10</v>
      </c>
      <c r="X16" s="4">
        <v>0.01</v>
      </c>
      <c r="Y16" s="9" t="b">
        <v>1</v>
      </c>
      <c r="Z16" s="9" t="b">
        <v>1</v>
      </c>
      <c r="AA16" s="17" t="str">
        <f>"0, AT "&amp;(Table17354[[#This Row],[Fault_Time_sig]])&amp;"s ↑ 1, at "&amp;(Table17354[[#This Row],[Fault_Time_sig]]+Table17354[[#This Row],[Fault_Duration_sig]])&amp;"s ↓ 0"</f>
        <v>0, AT 5s ↑ 1, at 5.22s ↓ 0</v>
      </c>
      <c r="AB16" s="13" t="str">
        <f>"TRIP BRANCH 'DED220_GLEN220|NEAR' AT "&amp;Table17354[[#This Row],[NEAR]]+Table17354[[#This Row],[Fault_Time_sig]]&amp;"s;
TRIP BRANCH 'DED220_GLEN220|FAR' AT "&amp;Table17354[[#This Row],[FAR]]+Table17354[[#This Row],[Fault_Time_sig]]&amp;"s;
APPLY FAULT TO BRANCH 'DED220_GLEN220'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'DED220_GLEN220|NEAR' AT 5.12s;
TRIP BRANCH 'DED220_GLEN220|FAR' AT 5.22s;
APPLY FAULT TO BRANCH 'DED220_GLEN220' AT 5s WITH TYPE=7, RF_OFFSET=0, XF_OFFSET=0, DURATION=0.22s, DISTANCE=0.01</v>
      </c>
      <c r="AC16" s="5">
        <v>20</v>
      </c>
      <c r="AD16" s="6"/>
      <c r="AE16" s="6"/>
      <c r="AF16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5.12s;
TRIP BRANCH 'BAL220_WAR220|FAR' AT 5.22s;
APPLY FAULT TO BRANCH 'BAL220_WAR220' AT 5s WITH TYPE=7, RF_OFFSET=0, XF_OFFSET=0, DURATION=0.22s, DISTANCE=0.01</v>
      </c>
      <c r="AG16" s="6"/>
    </row>
    <row r="17" spans="1:36" ht="43.2" customHeight="1" x14ac:dyDescent="0.3">
      <c r="A17" s="9" t="s">
        <v>24</v>
      </c>
      <c r="B17" s="4" t="str">
        <f>IF(Table17354[[#This Row],[Fault_Type_sig]]=7,"Balanced Faults",IF(Table17354[[#This Row],[Fault_Type_sig]]=4,"Unbalanced Faults","Plant Trip"))</f>
        <v>Balanced Faults</v>
      </c>
      <c r="C17" s="4" t="s">
        <v>104</v>
      </c>
      <c r="D17" s="9">
        <v>16</v>
      </c>
      <c r="E17" s="9"/>
      <c r="F17" s="4" t="s">
        <v>104</v>
      </c>
      <c r="G17" s="10" t="str">
        <f t="shared" si="0"/>
        <v>SummerHigh_016</v>
      </c>
      <c r="H17" s="5">
        <v>100</v>
      </c>
      <c r="I17" s="9" t="b">
        <v>1</v>
      </c>
      <c r="J17" s="9" t="b">
        <v>1</v>
      </c>
      <c r="K17" s="9">
        <v>0.43</v>
      </c>
      <c r="L17" s="9">
        <v>0.43</v>
      </c>
      <c r="M17" s="9">
        <v>0.43</v>
      </c>
      <c r="N17" s="9" t="b">
        <v>1</v>
      </c>
      <c r="O17" s="9">
        <v>3</v>
      </c>
      <c r="P17" s="9">
        <v>7</v>
      </c>
      <c r="Q17" s="9">
        <v>5</v>
      </c>
      <c r="R17" s="4">
        <f>IF(Table17354[[#This Row],[CB FAIL SCENARIO]],MAX(Table17354[[#This Row],[NEAR]:[CB FAIL]]),MAX(Table17354[[#This Row],[NEAR]:[FAR]]))</f>
        <v>0.43</v>
      </c>
      <c r="S17" s="9"/>
      <c r="T17" s="9">
        <v>0</v>
      </c>
      <c r="U17" s="9">
        <v>0</v>
      </c>
      <c r="V17" s="9">
        <v>0</v>
      </c>
      <c r="W17" s="4">
        <v>10</v>
      </c>
      <c r="X17" s="4">
        <v>0.01</v>
      </c>
      <c r="Y17" s="9" t="b">
        <v>1</v>
      </c>
      <c r="Z17" s="9" t="b">
        <v>1</v>
      </c>
      <c r="AA17" s="17" t="str">
        <f>"0, AT "&amp;(Table17354[[#This Row],[Fault_Time_sig]])&amp;"s ↑ 1, at "&amp;(Table17354[[#This Row],[Fault_Time_sig]]+Table17354[[#This Row],[Fault_Duration_sig]])&amp;"s ↓ 0"</f>
        <v>0, AT 5s ↑ 1, at 5.43s ↓ 0</v>
      </c>
      <c r="AB17" s="13" t="str">
        <f>"TRIP BRANCH 'SHEP220_GLEN220|NEAR' AT "&amp;Table17354[[#This Row],[NEAR]]+Table17354[[#This Row],[Fault_Time_sig]]&amp;"s;
TRIP BRANCH 'SHEP220_GLEN220|FAR' AT "&amp;Table17354[[#This Row],[FAR]]+Table17354[[#This Row],[Fault_Time_sig]]&amp;"s;
APPLY FAULT TO BRANCH 'SHEP220_GLEN220'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'SHEP220_GLEN220|NEAR' AT 5.43s;
TRIP BRANCH 'SHEP220_GLEN220|FAR' AT 5.43s;
APPLY FAULT TO BRANCH 'SHEP220_GLEN220' AT 5s WITH TYPE=7, RF_OFFSET=0, XF_OFFSET=0, DURATION=0.43s, DISTANCE=0.01</v>
      </c>
      <c r="AC17" s="5">
        <v>20</v>
      </c>
      <c r="AD17" s="6"/>
      <c r="AE17" s="6"/>
      <c r="AF17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5.43s;
TRIP BRANCH 'BAL220_WAR220|FAR' AT 5.43s;
APPLY FAULT TO BRANCH 'BAL220_WAR220' AT 5s WITH TYPE=7, RF_OFFSET=0, XF_OFFSET=0, DURATION=0.43s, DISTANCE=0.01</v>
      </c>
      <c r="AG17" s="6"/>
    </row>
    <row r="18" spans="1:36" ht="43.2" customHeight="1" x14ac:dyDescent="0.3">
      <c r="A18" s="9" t="s">
        <v>24</v>
      </c>
      <c r="B18" s="4" t="str">
        <f>IF(Table17354[[#This Row],[Fault_Type_sig]]=7,"Balanced Faults",IF(Table17354[[#This Row],[Fault_Type_sig]]=4,"Unbalanced Faults","Plant Trip"))</f>
        <v>Balanced Faults</v>
      </c>
      <c r="C18" s="4" t="s">
        <v>104</v>
      </c>
      <c r="D18" s="9">
        <v>17</v>
      </c>
      <c r="E18" s="9"/>
      <c r="F18" s="4" t="s">
        <v>104</v>
      </c>
      <c r="G18" s="10" t="str">
        <f t="shared" si="0"/>
        <v>SummerHigh_017</v>
      </c>
      <c r="H18" s="5">
        <v>100</v>
      </c>
      <c r="I18" s="9" t="b">
        <v>1</v>
      </c>
      <c r="J18" s="9" t="b">
        <v>1</v>
      </c>
      <c r="K18" s="9">
        <v>0.12</v>
      </c>
      <c r="L18" s="9">
        <v>0.22</v>
      </c>
      <c r="M18" s="9">
        <v>0.43</v>
      </c>
      <c r="N18" s="9" t="b">
        <v>0</v>
      </c>
      <c r="O18" s="9">
        <v>3</v>
      </c>
      <c r="P18" s="9">
        <v>7</v>
      </c>
      <c r="Q18" s="9">
        <v>5</v>
      </c>
      <c r="R18" s="4">
        <f>IF(Table17354[[#This Row],[CB FAIL SCENARIO]],MAX(Table17354[[#This Row],[NEAR]:[CB FAIL]]),MAX(Table17354[[#This Row],[NEAR]:[FAR]]))</f>
        <v>0.22</v>
      </c>
      <c r="S18" s="9"/>
      <c r="T18" s="9">
        <v>0</v>
      </c>
      <c r="U18" s="9">
        <v>0</v>
      </c>
      <c r="V18" s="9">
        <v>0</v>
      </c>
      <c r="W18" s="4">
        <v>10</v>
      </c>
      <c r="X18" s="4">
        <v>0.99</v>
      </c>
      <c r="Y18" s="9" t="b">
        <v>1</v>
      </c>
      <c r="Z18" s="9" t="b">
        <v>1</v>
      </c>
      <c r="AA18" s="17" t="str">
        <f>"0, AT "&amp;(Table17354[[#This Row],[Fault_Time_sig]])&amp;"s ↑ 1, at "&amp;(Table17354[[#This Row],[Fault_Time_sig]]+Table17354[[#This Row],[Fault_Duration_sig]])&amp;"s ↓ 0"</f>
        <v>0, AT 5s ↑ 1, at 5.22s ↓ 0</v>
      </c>
      <c r="AB18" s="13" t="str">
        <f>"TRIP BRANCH 'SHEP220_GLEN220|NEAR' AT "&amp;Table17354[[#This Row],[NEAR]]+Table17354[[#This Row],[Fault_Time_sig]]&amp;"s;
TRIP BRANCH 'SHEP220_GLEN220|FAR' AT "&amp;Table17354[[#This Row],[FAR]]+Table17354[[#This Row],[Fault_Time_sig]]&amp;"s;
APPLY FAULT TO BRANCH 'SHEP220_GLEN220'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'SHEP220_GLEN220|NEAR' AT 5.12s;
TRIP BRANCH 'SHEP220_GLEN220|FAR' AT 5.22s;
APPLY FAULT TO BRANCH 'SHEP220_GLEN220' AT 5s WITH TYPE=7, RF_OFFSET=0, XF_OFFSET=0, DURATION=0.22s, DISTANCE=0.99</v>
      </c>
      <c r="AC18" s="5">
        <v>20</v>
      </c>
      <c r="AD18" s="6"/>
      <c r="AE18" s="6"/>
      <c r="AF18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5.12s;
TRIP BRANCH 'BAL220_WAR220|FAR' AT 5.22s;
APPLY FAULT TO BRANCH 'BAL220_WAR220' AT 5s WITH TYPE=7, RF_OFFSET=0, XF_OFFSET=0, DURATION=0.22s, DISTANCE=0.99</v>
      </c>
      <c r="AG18" s="6"/>
    </row>
    <row r="19" spans="1:36" ht="39" customHeight="1" x14ac:dyDescent="0.3">
      <c r="A19" s="9" t="s">
        <v>24</v>
      </c>
      <c r="B19" s="4" t="str">
        <f>IF(Table17354[[#This Row],[Fault_Type_sig]]=7,"Balanced Faults",IF(Table17354[[#This Row],[Fault_Type_sig]]=4,"Unbalanced Faults","Plant Trip"))</f>
        <v>Balanced Faults</v>
      </c>
      <c r="C19" s="4" t="s">
        <v>104</v>
      </c>
      <c r="D19" s="9">
        <v>18</v>
      </c>
      <c r="E19" s="9"/>
      <c r="F19" s="4" t="s">
        <v>104</v>
      </c>
      <c r="G19" s="10" t="str">
        <f t="shared" si="0"/>
        <v>SummerHigh_018</v>
      </c>
      <c r="H19" s="5">
        <v>100</v>
      </c>
      <c r="I19" s="9" t="b">
        <v>1</v>
      </c>
      <c r="J19" s="9" t="b">
        <v>1</v>
      </c>
      <c r="K19" s="9">
        <v>0.12</v>
      </c>
      <c r="L19" s="9">
        <v>0.22</v>
      </c>
      <c r="M19" s="9">
        <v>0.43</v>
      </c>
      <c r="N19" s="9" t="b">
        <v>0</v>
      </c>
      <c r="O19" s="9">
        <v>3</v>
      </c>
      <c r="P19" s="9">
        <v>7</v>
      </c>
      <c r="Q19" s="9">
        <v>5</v>
      </c>
      <c r="R19" s="4">
        <f>IF(Table17354[[#This Row],[CB FAIL SCENARIO]],MAX(Table17354[[#This Row],[NEAR]:[CB FAIL]]),MAX(Table17354[[#This Row],[NEAR]:[FAR]]))</f>
        <v>0.22</v>
      </c>
      <c r="S19" s="9"/>
      <c r="T19" s="9">
        <v>0</v>
      </c>
      <c r="U19" s="9">
        <v>0</v>
      </c>
      <c r="V19" s="9">
        <v>0</v>
      </c>
      <c r="W19" s="4">
        <v>10</v>
      </c>
      <c r="X19" s="4">
        <v>0.01</v>
      </c>
      <c r="Y19" s="9" t="b">
        <v>1</v>
      </c>
      <c r="Z19" s="9" t="b">
        <v>1</v>
      </c>
      <c r="AA19" s="17" t="str">
        <f>"0, AT "&amp;(Table17354[[#This Row],[Fault_Time_sig]])&amp;"s ↑ 1, at "&amp;(Table17354[[#This Row],[Fault_Time_sig]]+Table17354[[#This Row],[Fault_Duration_sig]])&amp;"s ↓ 0"</f>
        <v>0, AT 5s ↑ 1, at 5.22s ↓ 0</v>
      </c>
      <c r="AB19" s="13" t="str">
        <f>"TRIP BRANCH 'DED220_MTB220|NEAR' AT "&amp;Table17354[[#This Row],[NEAR]]+Table17354[[#This Row],[Fault_Time_sig]]&amp;"s;
TRIP BRANCH 'DED220_MTB220|FAR' AT "&amp;Table17354[[#This Row],[FAR]]+Table17354[[#This Row],[Fault_Time_sig]]&amp;"s;
APPLY FAULT TO BRANCH 'DED220_MTB220'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'DED220_MTB220|NEAR' AT 5.12s;
TRIP BRANCH 'DED220_MTB220|FAR' AT 5.22s;
APPLY FAULT TO BRANCH 'DED220_MTB220' AT 5s WITH TYPE=7, RF_OFFSET=0, XF_OFFSET=0, DURATION=0.22s, DISTANCE=0.01</v>
      </c>
      <c r="AC19" s="5">
        <v>20</v>
      </c>
      <c r="AD19" s="6"/>
      <c r="AE19" s="6"/>
      <c r="AF19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5.12s;
TRIP BRANCH 'BAL220_WAR220|FAR' AT 5.22s;
APPLY FAULT TO BRANCH 'BAL220_WAR220' AT 5s WITH TYPE=7, RF_OFFSET=0, XF_OFFSET=0, DURATION=0.22s, DISTANCE=0.01</v>
      </c>
      <c r="AG19" s="6"/>
    </row>
    <row r="20" spans="1:36" ht="54" customHeight="1" x14ac:dyDescent="0.3">
      <c r="A20" s="9" t="s">
        <v>24</v>
      </c>
      <c r="B20" s="4" t="str">
        <f>IF(Table17354[[#This Row],[Fault_Type_sig]]=7,"Balanced Faults",IF(Table17354[[#This Row],[Fault_Type_sig]]=4,"Unbalanced Faults","Plant Trip"))</f>
        <v>Balanced Faults</v>
      </c>
      <c r="C20" s="4" t="s">
        <v>104</v>
      </c>
      <c r="D20" s="9">
        <v>19</v>
      </c>
      <c r="E20" s="9"/>
      <c r="F20" s="4" t="s">
        <v>104</v>
      </c>
      <c r="G20" s="10" t="str">
        <f t="shared" si="0"/>
        <v>SummerHigh_019</v>
      </c>
      <c r="H20" s="5">
        <v>100</v>
      </c>
      <c r="I20" s="9" t="b">
        <v>1</v>
      </c>
      <c r="J20" s="9" t="b">
        <v>1</v>
      </c>
      <c r="K20" s="9">
        <v>0.43</v>
      </c>
      <c r="L20" s="9">
        <v>0.43</v>
      </c>
      <c r="M20" s="9">
        <v>0.43</v>
      </c>
      <c r="N20" s="9" t="b">
        <v>1</v>
      </c>
      <c r="O20" s="9">
        <v>3</v>
      </c>
      <c r="P20" s="9">
        <v>7</v>
      </c>
      <c r="Q20" s="9">
        <v>5</v>
      </c>
      <c r="R20" s="4">
        <f>IF(Table17354[[#This Row],[CB FAIL SCENARIO]],MAX(Table17354[[#This Row],[NEAR]:[CB FAIL]]),MAX(Table17354[[#This Row],[NEAR]:[FAR]]))</f>
        <v>0.43</v>
      </c>
      <c r="S20" s="9"/>
      <c r="T20" s="9">
        <v>0</v>
      </c>
      <c r="U20" s="9">
        <v>0</v>
      </c>
      <c r="V20" s="9">
        <v>0</v>
      </c>
      <c r="W20" s="4">
        <v>10</v>
      </c>
      <c r="X20" s="4">
        <v>0.99</v>
      </c>
      <c r="Y20" s="9" t="b">
        <v>1</v>
      </c>
      <c r="Z20" s="9" t="b">
        <v>1</v>
      </c>
      <c r="AA20" s="17" t="str">
        <f>"0, AT "&amp;(Table17354[[#This Row],[Fault_Time_sig]])&amp;"s ↑ 1, at "&amp;(Table17354[[#This Row],[Fault_Time_sig]]+Table17354[[#This Row],[Fault_Duration_sig]])&amp;"s ↓ 0"</f>
        <v>0, AT 5s ↑ 1, at 5.43s ↓ 0</v>
      </c>
      <c r="AB20" s="13" t="str">
        <f>"TRIP BRANCH 'FO220_SHEP220|NEAR' AT "&amp;Table17354[[#This Row],[NEAR]]+Table17354[[#This Row],[Fault_Time_sig]]&amp;"s;
TRIP BRANCH 'FO220_SHEP220|FAR' AT "&amp;Table17354[[#This Row],[FAR]]+Table17354[[#This Row],[Fault_Time_sig]]&amp;"s;
APPLY FAULT TO BRANCH 'FO220_SHEP220'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'FO220_SHEP220|NEAR' AT 5.43s;
TRIP BRANCH 'FO220_SHEP220|FAR' AT 5.43s;
APPLY FAULT TO BRANCH 'FO220_SHEP220' AT 5s WITH TYPE=7, RF_OFFSET=0, XF_OFFSET=0, DURATION=0.43s, DISTANCE=0.99</v>
      </c>
      <c r="AC20" s="5">
        <v>20</v>
      </c>
      <c r="AD20" s="6"/>
      <c r="AE20" s="6"/>
      <c r="AF20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5.43s;
TRIP BRANCH 'BAL220_WAR220|FAR' AT 5.43s;
APPLY FAULT TO BRANCH 'BAL220_WAR220' AT 5s WITH TYPE=7, RF_OFFSET=0, XF_OFFSET=0, DURATION=0.43s, DISTANCE=0.99</v>
      </c>
      <c r="AG20" s="6"/>
    </row>
    <row r="21" spans="1:36" ht="359.4" customHeight="1" x14ac:dyDescent="0.3">
      <c r="A21" s="9" t="s">
        <v>24</v>
      </c>
      <c r="B21" s="4" t="str">
        <f>IF(Table17354[[#This Row],[Fault_Type_sig]]=7,"Balanced Faults",IF(Table17354[[#This Row],[Fault_Type_sig]]=4,"Unbalanced Faults","Plant Trip"))</f>
        <v>Balanced Faults</v>
      </c>
      <c r="C21" s="4" t="s">
        <v>104</v>
      </c>
      <c r="D21" s="9">
        <v>20</v>
      </c>
      <c r="E21" s="9"/>
      <c r="F21" s="4" t="s">
        <v>104</v>
      </c>
      <c r="G21" s="10" t="str">
        <f t="shared" si="0"/>
        <v>SummerHigh_020</v>
      </c>
      <c r="H21" s="5">
        <v>100</v>
      </c>
      <c r="I21" s="9" t="b">
        <v>1</v>
      </c>
      <c r="J21" s="9" t="b">
        <v>1</v>
      </c>
      <c r="K21" s="9">
        <v>0.12</v>
      </c>
      <c r="L21" s="9">
        <v>0.22</v>
      </c>
      <c r="M21" s="9">
        <v>0.43</v>
      </c>
      <c r="N21" s="9" t="b">
        <v>0</v>
      </c>
      <c r="O21" s="9">
        <v>3</v>
      </c>
      <c r="P21" s="9">
        <v>7</v>
      </c>
      <c r="Q21" s="9">
        <v>5</v>
      </c>
      <c r="R21" s="4">
        <f>IF(Table17354[[#This Row],[CB FAIL SCENARIO]],MAX(Table17354[[#This Row],[NEAR]:[CB FAIL]]),MAX(Table17354[[#This Row],[NEAR]:[FAR]]))</f>
        <v>0.22</v>
      </c>
      <c r="S21" s="9"/>
      <c r="T21" s="9">
        <v>0</v>
      </c>
      <c r="U21" s="9">
        <v>0</v>
      </c>
      <c r="V21" s="9">
        <v>0</v>
      </c>
      <c r="W21" s="4">
        <v>10</v>
      </c>
      <c r="X21" s="4">
        <v>0.01</v>
      </c>
      <c r="Y21" s="9" t="b">
        <v>1</v>
      </c>
      <c r="Z21" s="9" t="b">
        <v>1</v>
      </c>
      <c r="AA21" s="17" t="str">
        <f>"0, AT "&amp;(Table17354[[#This Row],[Fault_Time_sig]])&amp;"s ↑ 1, at "&amp;(Table17354[[#This Row],[Fault_Time_sig]]+Table17354[[#This Row],[Fault_Duration_sig]])&amp;"s ↓ 0"</f>
        <v>0, AT 5s ↑ 1, at 5.22s ↓ 0</v>
      </c>
      <c r="AB21" s="18" t="s">
        <v>100</v>
      </c>
      <c r="AC21" s="5">
        <v>20</v>
      </c>
      <c r="AD21" s="6"/>
      <c r="AE21" s="6"/>
      <c r="AF21" s="13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5.12s;
TRIP BRANCH 'BAL220_WAR220|FAR' AT 5.22s;
APPLY FAULT TO BRANCH 'BAL220_WAR220' AT 5s WITH TYPE=7, RF_OFFSET=0, XF_OFFSET=0, DURATION=0.22s, DISTANCE=0.01</v>
      </c>
      <c r="AG21" s="13" t="s">
        <v>101</v>
      </c>
      <c r="AH21" s="15" t="str">
        <f>"TRIP BRANCH 'MURRA_HOTS|NEAR' AT "&amp;0.2+Table17354[[#This Row],[Fault_Time_sig]]&amp;"s;
TRIP BRANCH 'MURRA_HOTS|FAR' AT "&amp;0.2+Table17354[[#This Row],[Fault_Time_sig]]&amp;"s;
TRIP BRANCH 'MURRA_MRTS|NEAR' AT "&amp;0.18+Table17354[[#This Row],[Fault_Time_sig]]&amp;"s;
TRIP BRANCH 'MURRA_MRTS|FAR' AT "&amp;0.18+Table17354[[#This Row],[Fault_Time_sig]]&amp;"s;
TRIP BRANCH 'MURRA_KIAM|NEAR' AT "&amp;0.18+Table17354[[#This Row],[Fault_Time_sig]]&amp;"s;
TRIP BRANCH 'MURRA_KIAM|FAR' AT "&amp;0.18+Table17354[[#This Row],[Fault_Time_sig]]&amp;"s"</f>
        <v>TRIP BRANCH 'MURRA_HOTS|NEAR' AT 5.2s;
TRIP BRANCH 'MURRA_HOTS|FAR' AT 5.2s;
TRIP BRANCH 'MURRA_MRTS|NEAR' AT 5.18s;
TRIP BRANCH 'MURRA_MRTS|FAR' AT 5.18s;
TRIP BRANCH 'MURRA_KIAM|NEAR' AT 5.18s;
TRIP BRANCH 'MURRA_KIAM|FAR' AT 5.18s</v>
      </c>
      <c r="AI21" t="str">
        <f>"TRIP MACHINE 'WBTSG1' AT "&amp;0.2+Table17354[[#This Row],[Fault_Time_sig]]&amp;"s;
TRIP MACHINE 'WBTSG2' AT "&amp;0.2+Table17354[[#This Row],[Fault_Time_sig]]&amp;"s;
TRIP MACHINE 'WBTSG3' AT "&amp;0.2+Table17354[[#This Row],[Fault_Time_sig]]&amp;"s;
TRIP MACHINE 'WBTSG4' AT "&amp;0.2+Table17354[[#This Row],[Fault_Time_sig]]&amp;"s;
TRIP MACHINE 'WBTSG5' AT "&amp;0.2+Table17354[[#This Row],[Fault_Time_sig]]&amp;"s"</f>
        <v>TRIP MACHINE 'WBTSG1' AT 5.2s;
TRIP MACHINE 'WBTSG2' AT 5.2s;
TRIP MACHINE 'WBTSG3' AT 5.2s;
TRIP MACHINE 'WBTSG4' AT 5.2s;
TRIP MACHINE 'WBTSG5' AT 5.2s</v>
      </c>
      <c r="AJ21" t="str">
        <f>"TRIP MACHINE 'CROW' AT "&amp;0.18+Table17354[[#This Row],[Fault_Time_sig]]&amp;"s;
TRIP MACHINE 'BULGG1' AT "&amp;0.18+Table17354[[#This Row],[Fault_Time_sig]]&amp;"s;
TRIP MACHINE 'BULGG2' AT "&amp;0.18+Table17354[[#This Row],[Fault_Time_sig]]&amp;"s;
TRIP MACHINE 'BULGBESS' AT "&amp;0.18+Table17354[[#This Row],[Fault_Time_sig]]&amp;"s"</f>
        <v>TRIP MACHINE 'CROW' AT 5.18s;
TRIP MACHINE 'BULGG1' AT 5.18s;
TRIP MACHINE 'BULGG2' AT 5.18s;
TRIP MACHINE 'BULGBESS' AT 5.18s</v>
      </c>
    </row>
    <row r="22" spans="1:36" ht="43.2" x14ac:dyDescent="0.3">
      <c r="A22" s="9" t="s">
        <v>24</v>
      </c>
      <c r="B22" s="4" t="str">
        <f>IF(Table17354[[#This Row],[Fault_Type_sig]]=7,"Balanced Faults",IF(Table17354[[#This Row],[Fault_Type_sig]]=4,"Unbalanced Faults","Plant Trip"))</f>
        <v>Balanced Faults</v>
      </c>
      <c r="C22" s="4" t="s">
        <v>104</v>
      </c>
      <c r="D22" s="9">
        <v>21</v>
      </c>
      <c r="E22" s="9"/>
      <c r="F22" s="4" t="s">
        <v>104</v>
      </c>
      <c r="G22" s="10" t="str">
        <f t="shared" si="0"/>
        <v>SummerHigh_021</v>
      </c>
      <c r="H22" s="5">
        <v>100</v>
      </c>
      <c r="I22" s="9" t="b">
        <v>1</v>
      </c>
      <c r="J22" s="9" t="b">
        <v>1</v>
      </c>
      <c r="K22" s="9">
        <v>0.12</v>
      </c>
      <c r="L22" s="9">
        <v>0.22</v>
      </c>
      <c r="M22" s="9">
        <v>0.43</v>
      </c>
      <c r="N22" s="9" t="b">
        <v>0</v>
      </c>
      <c r="O22" s="9">
        <v>3</v>
      </c>
      <c r="P22" s="9">
        <v>7</v>
      </c>
      <c r="Q22" s="9">
        <v>5</v>
      </c>
      <c r="R22" s="4">
        <f>IF(Table17354[[#This Row],[CB FAIL SCENARIO]],MAX(Table17354[[#This Row],[NEAR]:[CB FAIL]]),MAX(Table17354[[#This Row],[NEAR]:[FAR]]))</f>
        <v>0.22</v>
      </c>
      <c r="S22" s="9"/>
      <c r="T22" s="9">
        <v>0</v>
      </c>
      <c r="U22" s="9">
        <v>0</v>
      </c>
      <c r="V22" s="9">
        <v>0</v>
      </c>
      <c r="W22" s="4">
        <v>10</v>
      </c>
      <c r="X22" s="4">
        <v>0.01</v>
      </c>
      <c r="Y22" s="9" t="b">
        <v>1</v>
      </c>
      <c r="Z22" s="9" t="b">
        <v>1</v>
      </c>
      <c r="AA22" s="17" t="str">
        <f>"0, AT "&amp;(Table17354[[#This Row],[Fault_Time_sig]])&amp;"s ↑ 1, at "&amp;(Table17354[[#This Row],[Fault_Time_sig]]+Table17354[[#This Row],[Fault_Duration_sig]])&amp;"s ↓ 0"</f>
        <v>0, AT 5s ↑ 1, at 5.22s ↓ 0</v>
      </c>
      <c r="AB22" s="13" t="str">
        <f>"TRIP BRANCH 'ELD220_THO220|NEAR' AT "&amp;Table17354[[#This Row],[NEAR]]+Table17354[[#This Row],[Fault_Time_sig]]&amp;"s;
TRIP BRANCH 'ELD220_THO220|FAR' AT "&amp;Table17354[[#This Row],[FAR]]+Table17354[[#This Row],[Fault_Time_sig]]&amp;"s;
APPLY FAULT TO BRANCH 'ELD220_THO220'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'ELD220_THO220|NEAR' AT 5.12s;
TRIP BRANCH 'ELD220_THO220|FAR' AT 5.22s;
APPLY FAULT TO BRANCH 'ELD220_THO220' AT 5s WITH TYPE=7, RF_OFFSET=0, XF_OFFSET=0, DURATION=0.22s, DISTANCE=0.01</v>
      </c>
      <c r="AC22" s="5">
        <v>20</v>
      </c>
      <c r="AD22" s="6"/>
      <c r="AE22" s="6"/>
      <c r="AF22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5.12s;
TRIP BRANCH 'BAL220_WAR220|FAR' AT 5.22s;
APPLY FAULT TO BRANCH 'BAL220_WAR220' AT 5s WITH TYPE=7, RF_OFFSET=0, XF_OFFSET=0, DURATION=0.22s, DISTANCE=0.01</v>
      </c>
      <c r="AG22" s="6"/>
    </row>
    <row r="23" spans="1:36" ht="152.4" customHeight="1" x14ac:dyDescent="0.3">
      <c r="A23" s="9" t="s">
        <v>24</v>
      </c>
      <c r="B23" s="4" t="str">
        <f>IF(Table17354[[#This Row],[Fault_Type_sig]]=7,"Balanced Faults",IF(Table17354[[#This Row],[Fault_Type_sig]]=4,"Unbalanced Faults","Plant Trip"))</f>
        <v>Balanced Faults</v>
      </c>
      <c r="C23" s="4" t="s">
        <v>104</v>
      </c>
      <c r="D23" s="9">
        <v>22</v>
      </c>
      <c r="E23" s="9"/>
      <c r="F23" s="4" t="s">
        <v>104</v>
      </c>
      <c r="G23" s="10" t="str">
        <f t="shared" si="0"/>
        <v>SummerHigh_022</v>
      </c>
      <c r="H23" s="5">
        <v>100</v>
      </c>
      <c r="I23" s="9" t="b">
        <v>1</v>
      </c>
      <c r="J23" s="9" t="b">
        <v>1</v>
      </c>
      <c r="K23" s="9">
        <v>7.6999999999999999E-2</v>
      </c>
      <c r="L23" s="9">
        <v>1.087</v>
      </c>
      <c r="M23" s="9">
        <v>1.087</v>
      </c>
      <c r="N23" s="9" t="b">
        <v>1</v>
      </c>
      <c r="O23" s="9">
        <v>3</v>
      </c>
      <c r="P23" s="9">
        <v>7</v>
      </c>
      <c r="Q23" s="9">
        <v>5</v>
      </c>
      <c r="R23" s="4">
        <f>IF(Table17354[[#This Row],[CB FAIL SCENARIO]],MAX(Table17354[[#This Row],[NEAR]:[CB FAIL]]),MAX(Table17354[[#This Row],[NEAR]:[FAR]]))</f>
        <v>1.087</v>
      </c>
      <c r="S23" s="9"/>
      <c r="T23" s="9">
        <v>0</v>
      </c>
      <c r="U23" s="9">
        <v>0</v>
      </c>
      <c r="V23" s="9">
        <v>0</v>
      </c>
      <c r="W23" s="4">
        <v>10</v>
      </c>
      <c r="X23" s="4">
        <v>0.01</v>
      </c>
      <c r="Y23" s="9" t="b">
        <v>1</v>
      </c>
      <c r="Z23" s="9" t="b">
        <v>1</v>
      </c>
      <c r="AA23" s="17" t="str">
        <f>"0, AT "&amp;(Table17354[[#This Row],[Fault_Time_sig]])&amp;"s ↑ 1, at "&amp;(Table17354[[#This Row],[Fault_Time_sig]]+Table17354[[#This Row],[Fault_Duration_sig]])&amp;"s ↓ 0"</f>
        <v>0, AT 5s ↑ 1, at 6.087s ↓ 0</v>
      </c>
      <c r="AB23" s="13" t="str">
        <f>"TRIP BRANCH 'GLEN66_WAR66|NEAR' AT "&amp;Table17354[[#This Row],[NEAR]]+Table17354[[#This Row],[Fault_Time_sig]]&amp;"s;
TRIP BRANCH 'GLEN66_WAR66|FAR' AT "&amp;Table17354[[#This Row],[FAR]]+Table17354[[#This Row],[Fault_Time_sig]]&amp;"s;
APPLY FAULT TO BRANCH 'GLEN66_WAR66'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'GLEN66_WAR66|NEAR' AT 5.077s;
TRIP BRANCH 'GLEN66_WAR66|FAR' AT 6.087s;
APPLY FAULT TO BRANCH 'GLEN66_WAR66' AT 5s WITH TYPE=7, RF_OFFSET=0, XF_OFFSET=0, DURATION=1.087s, DISTANCE=0.01</v>
      </c>
      <c r="AC23" s="5">
        <v>20</v>
      </c>
      <c r="AD23" s="6"/>
      <c r="AE23" s="6"/>
      <c r="AF23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5.077s;
TRIP BRANCH 'BAL220_WAR220|FAR' AT 6.087s;
APPLY FAULT TO BRANCH 'BAL220_WAR220' AT 5s WITH TYPE=7, RF_OFFSET=0, XF_OFFSET=0, DURATION=1.087s, DISTANCE=0.01</v>
      </c>
      <c r="AG23" s="6"/>
    </row>
    <row r="24" spans="1:36" ht="85.8" customHeight="1" x14ac:dyDescent="0.3">
      <c r="A24" s="9" t="s">
        <v>24</v>
      </c>
      <c r="B24" s="4" t="str">
        <f>IF(Table17354[[#This Row],[Fault_Type_sig]]=7,"Balanced Faults",IF(Table17354[[#This Row],[Fault_Type_sig]]=4,"Unbalanced Faults","Plant Trip"))</f>
        <v>Balanced Faults</v>
      </c>
      <c r="C24" s="4" t="s">
        <v>104</v>
      </c>
      <c r="D24" s="9">
        <v>23</v>
      </c>
      <c r="E24" s="9"/>
      <c r="F24" s="4" t="s">
        <v>104</v>
      </c>
      <c r="G24" s="10" t="str">
        <f t="shared" si="0"/>
        <v>SummerHigh_023</v>
      </c>
      <c r="H24" s="5">
        <v>100</v>
      </c>
      <c r="I24" s="9" t="b">
        <v>1</v>
      </c>
      <c r="J24" s="9" t="b">
        <v>1</v>
      </c>
      <c r="K24" s="9">
        <v>0.14000000000000001</v>
      </c>
      <c r="L24" s="9">
        <v>0.54</v>
      </c>
      <c r="M24" s="9"/>
      <c r="N24" s="9" t="b">
        <v>0</v>
      </c>
      <c r="O24" s="9">
        <v>3</v>
      </c>
      <c r="P24" s="9">
        <v>7</v>
      </c>
      <c r="Q24" s="9">
        <v>5</v>
      </c>
      <c r="R24" s="4">
        <f>IF(Table17354[[#This Row],[CB FAIL SCENARIO]],MAX(Table17354[[#This Row],[NEAR]:[CB FAIL]]),MAX(Table17354[[#This Row],[NEAR]:[FAR]]))</f>
        <v>0.54</v>
      </c>
      <c r="S24" s="9"/>
      <c r="T24" s="9">
        <v>0</v>
      </c>
      <c r="U24" s="9">
        <v>0</v>
      </c>
      <c r="V24" s="9">
        <v>0</v>
      </c>
      <c r="W24" s="4">
        <v>10</v>
      </c>
      <c r="X24" s="4">
        <v>0.99</v>
      </c>
      <c r="Y24" s="9" t="b">
        <v>1</v>
      </c>
      <c r="Z24" s="9" t="b">
        <v>1</v>
      </c>
      <c r="AA24" s="17" t="str">
        <f>"0, AT "&amp;(Table17354[[#This Row],[Fault_Time_sig]])&amp;"s ↑ 1, at "&amp;(Table17354[[#This Row],[Fault_Time_sig]]+Table17354[[#This Row],[Fault_Duration_sig]])&amp;"s ↓ 0"</f>
        <v>0, AT 5s ↑ 1, at 5.54s ↓ 0</v>
      </c>
      <c r="AB24" s="13" t="str">
        <f>"TRIP BRANCH 'NUR66_SHEP66|NEAR' AT "&amp;Table17354[[#This Row],[NEAR]]+Table17354[[#This Row],[Fault_Time_sig]]&amp;"s;
TRIP BRANCH 'NUR66_SHEP66|FAR' AT "&amp;Table17354[[#This Row],[FAR]]+Table17354[[#This Row],[Fault_Time_sig]]&amp;"s;
APPLY FAULT TO BRANCH 'NUR66_SHEP66'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'NUR66_SHEP66|NEAR' AT 5.14s;
TRIP BRANCH 'NUR66_SHEP66|FAR' AT 5.54s;
APPLY FAULT TO BRANCH 'NUR66_SHEP66' AT 5s WITH TYPE=7, RF_OFFSET=0, XF_OFFSET=0, DURATION=0.54s, DISTANCE=0.99</v>
      </c>
      <c r="AC24" s="5">
        <v>20</v>
      </c>
      <c r="AD24" s="6"/>
      <c r="AE24" s="6"/>
      <c r="AF24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5.14s;
TRIP BRANCH 'BAL220_WAR220|FAR' AT 5.54s;
APPLY FAULT TO BRANCH 'BAL220_WAR220' AT 5s WITH TYPE=7, RF_OFFSET=0, XF_OFFSET=0, DURATION=0.54s, DISTANCE=0.99</v>
      </c>
      <c r="AG24" s="6"/>
    </row>
    <row r="25" spans="1:36" ht="114.6" customHeight="1" x14ac:dyDescent="0.3">
      <c r="A25" s="4" t="s">
        <v>24</v>
      </c>
      <c r="B25" s="4" t="str">
        <f>IF(Table17354[[#This Row],[Fault_Type_sig]]=7,"Balanced Faults",IF(Table17354[[#This Row],[Fault_Type_sig]]=4,"Unbalanced Faults","Plant Trip"))</f>
        <v>Unbalanced Faults</v>
      </c>
      <c r="C25" s="4" t="s">
        <v>104</v>
      </c>
      <c r="D25" s="4">
        <v>24</v>
      </c>
      <c r="E25" s="4"/>
      <c r="F25" s="4" t="s">
        <v>104</v>
      </c>
      <c r="G25" s="5" t="str">
        <f t="shared" si="0"/>
        <v>SummerHigh_024</v>
      </c>
      <c r="H25" s="5">
        <v>100</v>
      </c>
      <c r="I25" s="4" t="b">
        <v>1</v>
      </c>
      <c r="J25" s="4" t="b">
        <v>1</v>
      </c>
      <c r="K25" s="4">
        <v>0.12</v>
      </c>
      <c r="L25" s="4">
        <v>0.22</v>
      </c>
      <c r="M25" s="4"/>
      <c r="N25" s="9" t="b">
        <v>0</v>
      </c>
      <c r="O25" s="4">
        <v>3</v>
      </c>
      <c r="P25" s="4">
        <v>4</v>
      </c>
      <c r="Q25" s="4">
        <v>5</v>
      </c>
      <c r="R25" s="4">
        <f>IF(Table17354[[#This Row],[CB FAIL SCENARIO]],MAX(Table17354[[#This Row],[NEAR]:[CB FAIL]]),MAX(Table17354[[#This Row],[NEAR]:[FAR]]))</f>
        <v>0.22</v>
      </c>
      <c r="S25" s="4"/>
      <c r="T25" s="4">
        <v>0</v>
      </c>
      <c r="U25" s="4">
        <v>0</v>
      </c>
      <c r="V25" s="4">
        <v>0</v>
      </c>
      <c r="W25" s="4">
        <v>10</v>
      </c>
      <c r="X25" s="4">
        <v>0.99</v>
      </c>
      <c r="Y25" s="4" t="b">
        <v>1</v>
      </c>
      <c r="Z25" s="4" t="b">
        <v>1</v>
      </c>
      <c r="AA25" s="4" t="str">
        <f>"0, AT "&amp;(Table17354[[#This Row],[Fault_Time_sig]])&amp;"s ↑ 1, at "&amp;(Table17354[[#This Row],[Fault_Time_sig]]+Table17354[[#This Row],[Fault_Duration_sig]])&amp;"s ↓ 0"</f>
        <v>0, AT 5s ↑ 1, at 5.22s ↓ 0</v>
      </c>
      <c r="AB25" s="12" t="str">
        <f>"TRIP BRANCH 'SHTS220_GESF220|NEAR' AT "&amp;Table17354[[#This Row],[NEAR]]+Table17354[[#This Row],[Fault_Time_sig]]&amp;"s;
TRIP BRANCH 'SHTS220_GESF220|FAR' AT "&amp;Table17354[[#This Row],[FAR]]+Table17354[[#This Row],[Fault_Time_sig]]&amp;"s;
APPLY FAULT TO BRANCH 'SHTS220_GESF220'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'SHTS220_GESF220|NEAR' AT 5.12s;
TRIP BRANCH 'SHTS220_GESF220|FAR' AT 5.22s;
APPLY FAULT TO BRANCH 'SHTS220_GESF220' AT 5s WITH TYPE=4, RF_OFFSET=0, XF_OFFSET=0, DURATION=0.22s, DISTANCE=0.99</v>
      </c>
      <c r="AC25" s="5">
        <v>20</v>
      </c>
      <c r="AD25" s="6"/>
      <c r="AE25" s="6"/>
      <c r="AF25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5.12s;
TRIP BRANCH 'BAL220_WAR220|FAR' AT 5.22s;
APPLY FAULT TO BRANCH 'BAL220_WAR220' AT 5s WITH TYPE=4, RF_OFFSET=0, XF_OFFSET=0, DURATION=0.22s, DISTANCE=0.99</v>
      </c>
      <c r="AG25" s="6"/>
    </row>
    <row r="26" spans="1:36" ht="43.2" customHeight="1" x14ac:dyDescent="0.3">
      <c r="A26" s="9" t="s">
        <v>24</v>
      </c>
      <c r="B26" s="4" t="str">
        <f>IF(Table17354[[#This Row],[Fault_Type_sig]]=7,"Balanced Faults",IF(Table17354[[#This Row],[Fault_Type_sig]]=4,"Unbalanced Faults","Plant Trip"))</f>
        <v>Unbalanced Faults</v>
      </c>
      <c r="C26" s="4" t="s">
        <v>104</v>
      </c>
      <c r="D26" s="9">
        <v>25</v>
      </c>
      <c r="E26" s="9"/>
      <c r="F26" s="4" t="s">
        <v>104</v>
      </c>
      <c r="G26" s="10" t="str">
        <f t="shared" si="0"/>
        <v>SummerHigh_025</v>
      </c>
      <c r="H26" s="5">
        <v>100</v>
      </c>
      <c r="I26" s="9" t="b">
        <v>1</v>
      </c>
      <c r="J26" s="9" t="b">
        <v>1</v>
      </c>
      <c r="K26" s="9">
        <v>0.12</v>
      </c>
      <c r="L26" s="9">
        <v>0.22</v>
      </c>
      <c r="M26" s="9"/>
      <c r="N26" s="9" t="b">
        <v>0</v>
      </c>
      <c r="O26" s="9">
        <v>3</v>
      </c>
      <c r="P26" s="4">
        <v>4</v>
      </c>
      <c r="Q26" s="9">
        <v>5</v>
      </c>
      <c r="R26" s="4">
        <f>IF(Table17354[[#This Row],[CB FAIL SCENARIO]],MAX(Table17354[[#This Row],[NEAR]:[CB FAIL]]),MAX(Table17354[[#This Row],[NEAR]:[FAR]]))</f>
        <v>0.22</v>
      </c>
      <c r="S26" s="9"/>
      <c r="T26" s="9">
        <v>0</v>
      </c>
      <c r="U26" s="9">
        <v>0</v>
      </c>
      <c r="V26" s="9">
        <v>0</v>
      </c>
      <c r="W26" s="4">
        <v>10</v>
      </c>
      <c r="X26" s="4">
        <v>0.01</v>
      </c>
      <c r="Y26" s="9" t="b">
        <v>1</v>
      </c>
      <c r="Z26" s="9" t="b">
        <v>1</v>
      </c>
      <c r="AA26" s="17" t="str">
        <f>"0, AT "&amp;(Table17354[[#This Row],[Fault_Time_sig]])&amp;"s ↑ 1, at "&amp;(Table17354[[#This Row],[Fault_Time_sig]]+Table17354[[#This Row],[Fault_Duration_sig]])&amp;"s ↓ 0"</f>
        <v>0, AT 5s ↑ 1, at 5.22s ↓ 0</v>
      </c>
      <c r="AB26" s="14" t="str">
        <f>"TRIP BRANCH 'SHTS220_GESF220|NEAR' AT "&amp;Table17354[[#This Row],[NEAR]]+Table17354[[#This Row],[Fault_Time_sig]]&amp;"s;
TRIP BRANCH 'SHTS220_GESF220|FAR' AT "&amp;Table17354[[#This Row],[FAR]]+Table17354[[#This Row],[Fault_Time_sig]]&amp;"s;
RESTORE BRANCH 'SHTS220_GESF220|NEAR' AT "&amp;Table17354[[#This Row],[NEAR]]+Table17354[[#This Row],[RECLOSE]]+Table17354[[#This Row],[Fault_Time_sig]]&amp;"s;
RESTORE BRANCH 'SHTS220_GESF220|FAR' AT "&amp;Table17354[[#This Row],[NEAR]]+Table17354[[#This Row],[RECLOSE]]+Table17354[[#This Row],[Fault_Time_sig]]&amp;"s;
APPLY FAULT TO BRANCH 'SHTS220_GESF220'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'SHTS220_GESF220|NEAR' AT 5.12s;
TRIP BRANCH 'SHTS220_GESF220|FAR' AT 5.22s;
RESTORE BRANCH 'SHTS220_GESF220|NEAR' AT 8.12s;
RESTORE BRANCH 'SHTS220_GESF220|FAR' AT 8.12s;
APPLY FAULT TO BRANCH 'SHTS220_GESF220' AT 5s WITH TYPE=4, RF_OFFSET=0, XF_OFFSET=0, DURATION=0.22s, DISTANCE=0.01</v>
      </c>
      <c r="AC26" s="5">
        <v>20</v>
      </c>
      <c r="AD26" s="11"/>
      <c r="AE26" s="11"/>
      <c r="AF26" s="1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5.12s;
TRIP BRANCH 'BAL220_WAR220|FAR' AT 5.22s;
APPLY FAULT TO BRANCH 'BAL220_WAR220' AT 5s WITH TYPE=4, RF_OFFSET=0, XF_OFFSET=0, DURATION=0.22s, DISTANCE=0.01</v>
      </c>
      <c r="AG26" s="16"/>
    </row>
    <row r="27" spans="1:36" ht="43.2" customHeight="1" x14ac:dyDescent="0.3">
      <c r="A27" s="9" t="s">
        <v>24</v>
      </c>
      <c r="B27" s="4" t="str">
        <f>IF(Table17354[[#This Row],[Fault_Type_sig]]=7,"Balanced Faults",IF(Table17354[[#This Row],[Fault_Type_sig]]=4,"Unbalanced Faults","Plant Trip"))</f>
        <v>Unbalanced Faults</v>
      </c>
      <c r="C27" s="4" t="s">
        <v>104</v>
      </c>
      <c r="D27" s="4">
        <v>26</v>
      </c>
      <c r="E27" s="9"/>
      <c r="F27" s="4" t="s">
        <v>104</v>
      </c>
      <c r="G27" s="10" t="str">
        <f t="shared" si="0"/>
        <v>SummerHigh_026</v>
      </c>
      <c r="H27" s="5">
        <v>100</v>
      </c>
      <c r="I27" s="9" t="b">
        <v>1</v>
      </c>
      <c r="J27" s="9" t="b">
        <v>1</v>
      </c>
      <c r="K27" s="9">
        <v>0.12</v>
      </c>
      <c r="L27" s="9">
        <v>0.22</v>
      </c>
      <c r="M27" s="9"/>
      <c r="N27" s="9" t="b">
        <v>0</v>
      </c>
      <c r="O27" s="9">
        <v>3</v>
      </c>
      <c r="P27" s="4">
        <v>4</v>
      </c>
      <c r="Q27" s="9">
        <v>5</v>
      </c>
      <c r="R27" s="4">
        <f>IF(Table17354[[#This Row],[CB FAIL SCENARIO]],MAX(Table17354[[#This Row],[NEAR]:[CB FAIL]]),MAX(Table17354[[#This Row],[NEAR]:[FAR]]))</f>
        <v>0.22</v>
      </c>
      <c r="S27" s="9"/>
      <c r="T27" s="9">
        <v>0</v>
      </c>
      <c r="U27" s="9">
        <v>0</v>
      </c>
      <c r="V27" s="9">
        <v>0</v>
      </c>
      <c r="W27" s="4">
        <v>10</v>
      </c>
      <c r="X27" s="4">
        <v>0.99</v>
      </c>
      <c r="Y27" s="9" t="b">
        <v>1</v>
      </c>
      <c r="Z27" s="9" t="b">
        <v>1</v>
      </c>
      <c r="AA27" s="17" t="str">
        <f>"0, AT "&amp;(Table17354[[#This Row],[Fault_Time_sig]])&amp;"s ↑ 1, at "&amp;(Table17354[[#This Row],[Fault_Time_sig]]+Table17354[[#This Row],[Fault_Duration_sig]])&amp;"s ↓ 0"</f>
        <v>0, AT 5s ↑ 1, at 5.22s ↓ 0</v>
      </c>
      <c r="AB27" s="14" t="str">
        <f>"TRIP BRANCH 'DED220_GESF220|NEAR' AT "&amp;Table17354[[#This Row],[NEAR]]+Table17354[[#This Row],[Fault_Time_sig]]&amp;"s;
TRIP BRANCH 'DED220_GESF220|FAR' AT "&amp;Table17354[[#This Row],[FAR]]+Table17354[[#This Row],[Fault_Time_sig]]&amp;"s;
APPLY FAULT TO BRANCH 'DED220_GESF220'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'DED220_GESF220|NEAR' AT 5.12s;
TRIP BRANCH 'DED220_GESF220|FAR' AT 5.22s;
APPLY FAULT TO BRANCH 'DED220_GESF220' AT 5s WITH TYPE=4, RF_OFFSET=0, XF_OFFSET=0, DURATION=0.22s, DISTANCE=0.99</v>
      </c>
      <c r="AC27" s="5">
        <v>20</v>
      </c>
      <c r="AD27" s="11"/>
      <c r="AE27" s="11"/>
      <c r="AF27" s="1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5.12s;
TRIP BRANCH 'BAL220_WAR220|FAR' AT 5.22s;
APPLY FAULT TO BRANCH 'BAL220_WAR220' AT 5s WITH TYPE=4, RF_OFFSET=0, XF_OFFSET=0, DURATION=0.22s, DISTANCE=0.99</v>
      </c>
      <c r="AG27" s="16"/>
    </row>
    <row r="28" spans="1:36" ht="43.2" customHeight="1" x14ac:dyDescent="0.3">
      <c r="A28" s="9" t="s">
        <v>24</v>
      </c>
      <c r="B28" s="4" t="str">
        <f>IF(Table17354[[#This Row],[Fault_Type_sig]]=7,"Balanced Faults",IF(Table17354[[#This Row],[Fault_Type_sig]]=4,"Unbalanced Faults","Plant Trip"))</f>
        <v>Unbalanced Faults</v>
      </c>
      <c r="C28" s="4" t="s">
        <v>104</v>
      </c>
      <c r="D28" s="9">
        <v>27</v>
      </c>
      <c r="E28" s="9"/>
      <c r="F28" s="4" t="s">
        <v>104</v>
      </c>
      <c r="G28" s="10" t="str">
        <f t="shared" si="0"/>
        <v>SummerHigh_027</v>
      </c>
      <c r="H28" s="5">
        <v>100</v>
      </c>
      <c r="I28" s="9" t="b">
        <v>1</v>
      </c>
      <c r="J28" s="9" t="b">
        <v>1</v>
      </c>
      <c r="K28" s="9">
        <v>0.8</v>
      </c>
      <c r="L28" s="9">
        <v>0.1</v>
      </c>
      <c r="M28" s="9"/>
      <c r="N28" s="9" t="b">
        <v>0</v>
      </c>
      <c r="O28" s="9">
        <v>3</v>
      </c>
      <c r="P28" s="4">
        <v>4</v>
      </c>
      <c r="Q28" s="9">
        <v>5</v>
      </c>
      <c r="R28" s="4">
        <f>IF(Table17354[[#This Row],[CB FAIL SCENARIO]],MAX(Table17354[[#This Row],[NEAR]:[CB FAIL]]),MAX(Table17354[[#This Row],[NEAR]:[FAR]]))</f>
        <v>0.8</v>
      </c>
      <c r="S28" s="9"/>
      <c r="T28" s="9">
        <v>0</v>
      </c>
      <c r="U28" s="9">
        <v>0</v>
      </c>
      <c r="V28" s="9">
        <v>0</v>
      </c>
      <c r="W28" s="4">
        <v>10</v>
      </c>
      <c r="X28" s="4">
        <v>0.99</v>
      </c>
      <c r="Y28" s="9" t="b">
        <v>1</v>
      </c>
      <c r="Z28" s="9" t="b">
        <v>1</v>
      </c>
      <c r="AA28" s="17" t="str">
        <f>"0, AT "&amp;(Table17354[[#This Row],[Fault_Time_sig]])&amp;"s ↑ 1, at "&amp;(Table17354[[#This Row],[Fault_Time_sig]]+Table17354[[#This Row],[Fault_Duration_sig]])&amp;"s ↓ 0"</f>
        <v>0, AT 5s ↑ 1, at 5.8s ↓ 0</v>
      </c>
      <c r="AB28" s="14" t="str">
        <f>"TRIP BRANCH 'KE500_SM500|NEAR' AT "&amp;Table17354[[#This Row],[NEAR]]+Table17354[[#This Row],[Fault_Time_sig]]&amp;"s;
TRIP BRANCH 'KE500_SM500|FAR' AT "&amp;Table17354[[#This Row],[FAR]]+Table17354[[#This Row],[Fault_Time_sig]]&amp;"s;
RESTORE BRANCH 'KE500_SM500|NEAR' AT "&amp;Table17354[[#This Row],[NEAR]]+Table17354[[#This Row],[RECLOSE]]+Table17354[[#This Row],[Fault_Time_sig]]&amp;"s;
RESTORE BRANCH 'KE500_SM500|FAR' AT "&amp;Table17354[[#This Row],[NEAR]]+Table17354[[#This Row],[RECLOSE]]+Table17354[[#This Row],[Fault_Time_sig]]&amp;"s;
APPLY FAULT TO BRANCH 'KE500_SM500'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'KE500_SM500|NEAR' AT 5.8s;
TRIP BRANCH 'KE500_SM500|FAR' AT 5.1s;
RESTORE BRANCH 'KE500_SM500|NEAR' AT 8.8s;
RESTORE BRANCH 'KE500_SM500|FAR' AT 8.8s;
APPLY FAULT TO BRANCH 'KE500_SM500' AT 5s WITH TYPE=4, RF_OFFSET=0, XF_OFFSET=0, DURATION=0.8s, DISTANCE=0.99</v>
      </c>
      <c r="AC28" s="5">
        <v>20</v>
      </c>
      <c r="AD28" s="11"/>
      <c r="AE28" s="11"/>
      <c r="AF28" s="1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5.8s;
TRIP BRANCH 'BAL220_WAR220|FAR' AT 5.1s;
APPLY FAULT TO BRANCH 'BAL220_WAR220' AT 5s WITH TYPE=4, RF_OFFSET=0, XF_OFFSET=0, DURATION=0.8s, DISTANCE=0.99</v>
      </c>
      <c r="AG28" s="16"/>
    </row>
    <row r="29" spans="1:36" ht="43.2" customHeight="1" x14ac:dyDescent="0.3">
      <c r="A29" s="9" t="s">
        <v>24</v>
      </c>
      <c r="B29" s="4" t="str">
        <f>IF(Table17354[[#This Row],[Fault_Type_sig]]=7,"Balanced Faults",IF(Table17354[[#This Row],[Fault_Type_sig]]=4,"Unbalanced Faults","Plant Trip"))</f>
        <v>Unbalanced Faults</v>
      </c>
      <c r="C29" s="4" t="s">
        <v>104</v>
      </c>
      <c r="D29" s="4">
        <v>28</v>
      </c>
      <c r="E29" s="9"/>
      <c r="F29" s="4" t="s">
        <v>104</v>
      </c>
      <c r="G29" s="10" t="str">
        <f t="shared" si="0"/>
        <v>SummerHigh_028</v>
      </c>
      <c r="H29" s="5">
        <v>100</v>
      </c>
      <c r="I29" s="9" t="b">
        <v>1</v>
      </c>
      <c r="J29" s="9" t="b">
        <v>1</v>
      </c>
      <c r="K29" s="9">
        <v>0.1</v>
      </c>
      <c r="L29" s="9">
        <v>0.12</v>
      </c>
      <c r="M29" s="9"/>
      <c r="N29" s="9" t="b">
        <v>0</v>
      </c>
      <c r="O29" s="9">
        <v>3</v>
      </c>
      <c r="P29" s="4">
        <v>4</v>
      </c>
      <c r="Q29" s="9">
        <v>5</v>
      </c>
      <c r="R29" s="4">
        <f>IF(Table17354[[#This Row],[CB FAIL SCENARIO]],MAX(Table17354[[#This Row],[NEAR]:[CB FAIL]]),MAX(Table17354[[#This Row],[NEAR]:[FAR]]))</f>
        <v>0.12</v>
      </c>
      <c r="S29" s="9"/>
      <c r="T29" s="9">
        <v>0</v>
      </c>
      <c r="U29" s="9">
        <v>0</v>
      </c>
      <c r="V29" s="9">
        <v>0</v>
      </c>
      <c r="W29" s="4">
        <v>10</v>
      </c>
      <c r="X29" s="4">
        <v>0.01</v>
      </c>
      <c r="Y29" s="9" t="b">
        <v>1</v>
      </c>
      <c r="Z29" s="9" t="b">
        <v>1</v>
      </c>
      <c r="AA29" s="17" t="str">
        <f>"0, AT "&amp;(Table17354[[#This Row],[Fault_Time_sig]])&amp;"s ↑ 1, at "&amp;(Table17354[[#This Row],[Fault_Time_sig]]+Table17354[[#This Row],[Fault_Duration_sig]])&amp;"s ↓ 0"</f>
        <v>0, AT 5s ↑ 1, at 5.12s ↓ 0</v>
      </c>
      <c r="AB29" s="14" t="str">
        <f>"TRIP BRANCH 'DE330_WO330|NEAR' AT "&amp;Table17354[[#This Row],[NEAR]]+Table17354[[#This Row],[Fault_Time_sig]]&amp;"s;
TRIP BRANCH 'DE330_WO330|FAR' AT "&amp;Table17354[[#This Row],[FAR]]+Table17354[[#This Row],[Fault_Time_sig]]&amp;"s;
APPLY FAULT TO BRANCH 'DE330_WO330'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'DE330_WO330|NEAR' AT 5.1s;
TRIP BRANCH 'DE330_WO330|FAR' AT 5.12s;
APPLY FAULT TO BRANCH 'DE330_WO330' AT 5s WITH TYPE=4, RF_OFFSET=0, XF_OFFSET=0, DURATION=0.12s, DISTANCE=0.01</v>
      </c>
      <c r="AC29" s="5">
        <v>20</v>
      </c>
      <c r="AD29" s="11"/>
      <c r="AE29" s="11"/>
      <c r="AF29" s="1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5.1s;
TRIP BRANCH 'BAL220_WAR220|FAR' AT 5.12s;
APPLY FAULT TO BRANCH 'BAL220_WAR220' AT 5s WITH TYPE=4, RF_OFFSET=0, XF_OFFSET=0, DURATION=0.12s, DISTANCE=0.01</v>
      </c>
      <c r="AG29" s="16"/>
    </row>
    <row r="30" spans="1:36" ht="43.2" customHeight="1" x14ac:dyDescent="0.3">
      <c r="A30" s="9" t="s">
        <v>24</v>
      </c>
      <c r="B30" s="4" t="str">
        <f>IF(Table17354[[#This Row],[Fault_Type_sig]]=7,"Balanced Faults",IF(Table17354[[#This Row],[Fault_Type_sig]]=4,"Unbalanced Faults","Plant Trip"))</f>
        <v>Unbalanced Faults</v>
      </c>
      <c r="C30" s="4" t="s">
        <v>104</v>
      </c>
      <c r="D30" s="9">
        <v>29</v>
      </c>
      <c r="E30" s="9"/>
      <c r="F30" s="4" t="s">
        <v>104</v>
      </c>
      <c r="G30" s="10" t="str">
        <f t="shared" si="0"/>
        <v>SummerHigh_029</v>
      </c>
      <c r="H30" s="5">
        <v>100</v>
      </c>
      <c r="I30" s="9" t="b">
        <v>1</v>
      </c>
      <c r="J30" s="9" t="b">
        <v>1</v>
      </c>
      <c r="K30" s="9">
        <v>0.1</v>
      </c>
      <c r="L30" s="9">
        <v>0.12</v>
      </c>
      <c r="M30" s="9"/>
      <c r="N30" s="9" t="b">
        <v>0</v>
      </c>
      <c r="O30" s="9">
        <v>3</v>
      </c>
      <c r="P30" s="4">
        <v>4</v>
      </c>
      <c r="Q30" s="9">
        <v>5</v>
      </c>
      <c r="R30" s="4">
        <f>IF(Table17354[[#This Row],[CB FAIL SCENARIO]],MAX(Table17354[[#This Row],[NEAR]:[CB FAIL]]),MAX(Table17354[[#This Row],[NEAR]:[FAR]]))</f>
        <v>0.12</v>
      </c>
      <c r="S30" s="9"/>
      <c r="T30" s="9">
        <v>0</v>
      </c>
      <c r="U30" s="9">
        <v>0</v>
      </c>
      <c r="V30" s="9">
        <v>0</v>
      </c>
      <c r="W30" s="4">
        <v>10</v>
      </c>
      <c r="X30" s="4">
        <v>0.99</v>
      </c>
      <c r="Y30" s="9" t="b">
        <v>1</v>
      </c>
      <c r="Z30" s="9" t="b">
        <v>1</v>
      </c>
      <c r="AA30" s="17" t="str">
        <f>"0, AT "&amp;(Table17354[[#This Row],[Fault_Time_sig]])&amp;"s ↑ 1, at "&amp;(Table17354[[#This Row],[Fault_Time_sig]]+Table17354[[#This Row],[Fault_Duration_sig]])&amp;"s ↓ 0"</f>
        <v>0, AT 5s ↑ 1, at 5.12s ↓ 0</v>
      </c>
      <c r="AB30" s="14" t="str">
        <f>"TRIP BRANCH 'DE330_WO330|NEAR' AT "&amp;Table17354[[#This Row],[NEAR]]+Table17354[[#This Row],[Fault_Time_sig]]&amp;"s;
TRIP BRANCH 'DE330_WO330|FAR' AT "&amp;Table17354[[#This Row],[FAR]]+Table17354[[#This Row],[Fault_Time_sig]]&amp;"s;
RESTORE BRANCH 'DE330_WO330|NEAR' AT "&amp;Table17354[[#This Row],[NEAR]]+Table17354[[#This Row],[RECLOSE]]+Table17354[[#This Row],[Fault_Time_sig]]&amp;"s;
RESTORE BRANCH 'DE330_WO330|FAR' AT "&amp;Table17354[[#This Row],[NEAR]]+Table17354[[#This Row],[RECLOSE]]+Table17354[[#This Row],[Fault_Time_sig]]&amp;"s;
APPLY FAULT TO BRANCH 'DE330_WO330' AT "&amp;Table17354[[#This Row],[Fault_Time_sig]]&amp;"s WITH "
&amp;"TYPE="&amp;Table17354[[#This Row],[Fault_Type_sig]]
&amp;IF(Table17354[[#This Row],[Fault_Duration_sig]]="","",", DURATION="&amp;Table17354[[#This Row],[Fault_Duration_sig]]&amp;"s")
&amp;IF(Table17354[[#This Row],[Distance]]="","",", DISTANCE="&amp;Table17354[[#This Row],[Distance]])</f>
        <v>TRIP BRANCH 'DE330_WO330|NEAR' AT 5.1s;
TRIP BRANCH 'DE330_WO330|FAR' AT 5.12s;
RESTORE BRANCH 'DE330_WO330|NEAR' AT 8.1s;
RESTORE BRANCH 'DE330_WO330|FAR' AT 8.1s;
APPLY FAULT TO BRANCH 'DE330_WO330' AT 5s WITH TYPE=4, DURATION=0.12s, DISTANCE=0.99</v>
      </c>
      <c r="AC30" s="5">
        <v>20</v>
      </c>
      <c r="AD30" s="6"/>
      <c r="AE30" s="6"/>
      <c r="AF30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5.1s;
TRIP BRANCH 'BAL220_WAR220|FAR' AT 5.12s;
APPLY FAULT TO BRANCH 'BAL220_WAR220' AT 5s WITH TYPE=4, RF_OFFSET=0, XF_OFFSET=0, DURATION=0.12s, DISTANCE=0.99</v>
      </c>
      <c r="AG30" s="6"/>
    </row>
    <row r="31" spans="1:36" ht="70.8" customHeight="1" x14ac:dyDescent="0.3">
      <c r="A31" s="9" t="s">
        <v>24</v>
      </c>
      <c r="B31" s="4" t="str">
        <f>IF(Table17354[[#This Row],[Fault_Type_sig]]=7,"Balanced Faults",IF(Table17354[[#This Row],[Fault_Type_sig]]=4,"Unbalanced Faults","Plant Trip"))</f>
        <v>Unbalanced Faults</v>
      </c>
      <c r="C31" s="4" t="s">
        <v>104</v>
      </c>
      <c r="D31" s="4">
        <v>30</v>
      </c>
      <c r="E31" s="9"/>
      <c r="F31" s="4" t="s">
        <v>104</v>
      </c>
      <c r="G31" s="10" t="str">
        <f t="shared" si="0"/>
        <v>SummerHigh_030</v>
      </c>
      <c r="H31" s="5">
        <v>100</v>
      </c>
      <c r="I31" s="9" t="b">
        <v>1</v>
      </c>
      <c r="J31" s="9" t="b">
        <v>1</v>
      </c>
      <c r="K31" s="9">
        <v>0.1</v>
      </c>
      <c r="L31" s="9">
        <v>0.12</v>
      </c>
      <c r="M31" s="9"/>
      <c r="N31" s="9" t="b">
        <v>0</v>
      </c>
      <c r="O31" s="9">
        <v>3</v>
      </c>
      <c r="P31" s="4">
        <v>4</v>
      </c>
      <c r="Q31" s="9">
        <v>5</v>
      </c>
      <c r="R31" s="4">
        <f>IF(Table17354[[#This Row],[CB FAIL SCENARIO]],MAX(Table17354[[#This Row],[NEAR]:[CB FAIL]]),MAX(Table17354[[#This Row],[NEAR]:[FAR]]))</f>
        <v>0.12</v>
      </c>
      <c r="S31" s="9"/>
      <c r="T31" s="9">
        <v>0</v>
      </c>
      <c r="U31" s="9">
        <v>0</v>
      </c>
      <c r="V31" s="9">
        <v>0</v>
      </c>
      <c r="W31" s="4">
        <v>10</v>
      </c>
      <c r="X31" s="4">
        <v>0.99</v>
      </c>
      <c r="Y31" s="9" t="b">
        <v>1</v>
      </c>
      <c r="Z31" s="9" t="b">
        <v>1</v>
      </c>
      <c r="AA31" s="17" t="str">
        <f>"0, AT "&amp;(Table17354[[#This Row],[Fault_Time_sig]])&amp;"s ↑ 1, at "&amp;(Table17354[[#This Row],[Fault_Time_sig]]+Table17354[[#This Row],[Fault_Duration_sig]])&amp;"s ↓ 0"</f>
        <v>0, AT 5s ↑ 1, at 5.12s ↓ 0</v>
      </c>
      <c r="AB31" s="13" t="str">
        <f>"TRIP BRANCH 'JIN330_WO330|NEAR' AT "&amp;Table17354[[#This Row],[NEAR]]+Table17354[[#This Row],[Fault_Time_sig]]&amp;"s;
TRIP BRANCH 'JIN330_WO330|FAR' AT "&amp;Table17354[[#This Row],[FAR]]+Table17354[[#This Row],[Fault_Time_sig]]&amp;"s;
RESTORE BRANCH 'JIN330_WO330|NEAR' AT "&amp;Table17354[[#This Row],[NEAR]]+Table17354[[#This Row],[RECLOSE]]+Table17354[[#This Row],[Fault_Time_sig]]&amp;"s;
RESTORE BRANCH 'JIN330_WO330|FAR' AT "&amp;Table17354[[#This Row],[NEAR]]+Table17354[[#This Row],[RECLOSE]]+Table17354[[#This Row],[Fault_Time_sig]]&amp;"s;
APPLY FAULT TO BRANCH 'JIN330_WO330'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'JIN330_WO330|NEAR' AT 5.1s;
TRIP BRANCH 'JIN330_WO330|FAR' AT 5.12s;
RESTORE BRANCH 'JIN330_WO330|NEAR' AT 8.1s;
RESTORE BRANCH 'JIN330_WO330|FAR' AT 8.1s;
APPLY FAULT TO BRANCH 'JIN330_WO330' AT 5s WITH TYPE=4, RF_OFFSET=0, XF_OFFSET=0, DURATION=0.12s, DISTANCE=0.99</v>
      </c>
      <c r="AC31" s="5">
        <v>20</v>
      </c>
      <c r="AD31" s="6"/>
      <c r="AE31" s="6"/>
      <c r="AF31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5.1s;
TRIP BRANCH 'BAL220_WAR220|FAR' AT 5.12s;
APPLY FAULT TO BRANCH 'BAL220_WAR220' AT 5s WITH TYPE=4, RF_OFFSET=0, XF_OFFSET=0, DURATION=0.12s, DISTANCE=0.99</v>
      </c>
      <c r="AG31" s="6"/>
    </row>
    <row r="32" spans="1:36" ht="43.2" customHeight="1" x14ac:dyDescent="0.3">
      <c r="A32" s="9" t="s">
        <v>24</v>
      </c>
      <c r="B32" s="4" t="str">
        <f>IF(Table17354[[#This Row],[Fault_Type_sig]]=7,"Balanced Faults",IF(Table17354[[#This Row],[Fault_Type_sig]]=4,"Unbalanced Faults","Plant Trip"))</f>
        <v>Unbalanced Faults</v>
      </c>
      <c r="C32" s="4" t="s">
        <v>104</v>
      </c>
      <c r="D32" s="9">
        <v>31</v>
      </c>
      <c r="E32" s="9"/>
      <c r="F32" s="4" t="s">
        <v>104</v>
      </c>
      <c r="G32" s="10" t="str">
        <f t="shared" si="0"/>
        <v>SummerHigh_031</v>
      </c>
      <c r="H32" s="5">
        <v>100</v>
      </c>
      <c r="I32" s="9" t="b">
        <v>1</v>
      </c>
      <c r="J32" s="9" t="b">
        <v>1</v>
      </c>
      <c r="K32" s="9">
        <v>0.1</v>
      </c>
      <c r="L32" s="9">
        <v>0.12</v>
      </c>
      <c r="M32" s="9"/>
      <c r="N32" s="9" t="b">
        <v>0</v>
      </c>
      <c r="O32" s="9">
        <v>3</v>
      </c>
      <c r="P32" s="4">
        <v>4</v>
      </c>
      <c r="Q32" s="9">
        <v>5</v>
      </c>
      <c r="R32" s="4">
        <f>IF(Table17354[[#This Row],[CB FAIL SCENARIO]],MAX(Table17354[[#This Row],[NEAR]:[CB FAIL]]),MAX(Table17354[[#This Row],[NEAR]:[FAR]]))</f>
        <v>0.12</v>
      </c>
      <c r="S32" s="9"/>
      <c r="T32" s="9">
        <v>0</v>
      </c>
      <c r="U32" s="9">
        <v>0</v>
      </c>
      <c r="V32" s="9">
        <v>0</v>
      </c>
      <c r="W32" s="4">
        <v>10</v>
      </c>
      <c r="X32" s="4">
        <v>0.01</v>
      </c>
      <c r="Y32" s="9" t="b">
        <v>1</v>
      </c>
      <c r="Z32" s="9" t="b">
        <v>1</v>
      </c>
      <c r="AA32" s="17" t="str">
        <f>"0, AT "&amp;(Table17354[[#This Row],[Fault_Time_sig]])&amp;"s ↑ 1, at "&amp;(Table17354[[#This Row],[Fault_Time_sig]]+Table17354[[#This Row],[Fault_Duration_sig]])&amp;"s ↓ 0"</f>
        <v>0, AT 5s ↑ 1, at 5.12s ↓ 0</v>
      </c>
      <c r="AB32" s="13" t="str">
        <f>"TRIP BRANCH 'DED330_MUR330|NEAR' AT "&amp;Table17354[[#This Row],[NEAR]]+Table17354[[#This Row],[Fault_Time_sig]]&amp;"s;
TRIP BRANCH 'DED330_MUR330|FAR' AT "&amp;Table17354[[#This Row],[FAR]]+Table17354[[#This Row],[Fault_Time_sig]]&amp;"s;
APPLY FAULT TO BRANCH 'DED330_MUR330'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'DED330_MUR330|NEAR' AT 5.1s;
TRIP BRANCH 'DED330_MUR330|FAR' AT 5.12s;
APPLY FAULT TO BRANCH 'DED330_MUR330' AT 5s WITH TYPE=4, RF_OFFSET=0, XF_OFFSET=0, DURATION=0.12s, DISTANCE=0.01</v>
      </c>
      <c r="AC32" s="5">
        <v>20</v>
      </c>
      <c r="AD32" s="6"/>
      <c r="AE32" s="6"/>
      <c r="AF32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5.1s;
TRIP BRANCH 'BAL220_WAR220|FAR' AT 5.12s;
APPLY FAULT TO BRANCH 'BAL220_WAR220' AT 5s WITH TYPE=4, RF_OFFSET=0, XF_OFFSET=0, DURATION=0.12s, DISTANCE=0.01</v>
      </c>
      <c r="AG32" s="6"/>
    </row>
    <row r="33" spans="1:34" ht="43.2" customHeight="1" x14ac:dyDescent="0.3">
      <c r="A33" s="9" t="s">
        <v>24</v>
      </c>
      <c r="B33" s="4" t="str">
        <f>IF(Table17354[[#This Row],[Fault_Type_sig]]=7,"Balanced Faults",IF(Table17354[[#This Row],[Fault_Type_sig]]=4,"Unbalanced Faults","Plant Trip"))</f>
        <v>Unbalanced Faults</v>
      </c>
      <c r="C33" s="4" t="s">
        <v>104</v>
      </c>
      <c r="D33" s="4">
        <v>32</v>
      </c>
      <c r="E33" s="9"/>
      <c r="F33" s="4" t="s">
        <v>104</v>
      </c>
      <c r="G33" s="10" t="str">
        <f t="shared" si="0"/>
        <v>SummerHigh_032</v>
      </c>
      <c r="H33" s="5">
        <v>100</v>
      </c>
      <c r="I33" s="9" t="b">
        <v>1</v>
      </c>
      <c r="J33" s="9" t="b">
        <v>1</v>
      </c>
      <c r="K33" s="9">
        <v>0.1</v>
      </c>
      <c r="L33" s="9">
        <v>0.12</v>
      </c>
      <c r="M33" s="9"/>
      <c r="N33" s="9" t="b">
        <v>0</v>
      </c>
      <c r="O33" s="9">
        <v>3</v>
      </c>
      <c r="P33" s="4">
        <v>4</v>
      </c>
      <c r="Q33" s="9">
        <v>5</v>
      </c>
      <c r="R33" s="4">
        <f>IF(Table17354[[#This Row],[CB FAIL SCENARIO]],MAX(Table17354[[#This Row],[NEAR]:[CB FAIL]]),MAX(Table17354[[#This Row],[NEAR]:[FAR]]))</f>
        <v>0.12</v>
      </c>
      <c r="S33" s="9"/>
      <c r="T33" s="9">
        <v>0</v>
      </c>
      <c r="U33" s="9">
        <v>0</v>
      </c>
      <c r="V33" s="9">
        <v>0</v>
      </c>
      <c r="W33" s="4">
        <v>10</v>
      </c>
      <c r="X33" s="4">
        <v>0.01</v>
      </c>
      <c r="Y33" s="9" t="b">
        <v>1</v>
      </c>
      <c r="Z33" s="9" t="b">
        <v>1</v>
      </c>
      <c r="AA33" s="17" t="str">
        <f>"0, AT "&amp;(Table17354[[#This Row],[Fault_Time_sig]])&amp;"s ↑ 1, at "&amp;(Table17354[[#This Row],[Fault_Time_sig]]+Table17354[[#This Row],[Fault_Duration_sig]])&amp;"s ↓ 0"</f>
        <v>0, AT 5s ↑ 1, at 5.12s ↓ 0</v>
      </c>
      <c r="AB33" s="13" t="str">
        <f>"TRIP BRANCH 'DED330_SM330|NEAR' AT "&amp;Table17354[[#This Row],[NEAR]]+Table17354[[#This Row],[Fault_Time_sig]]&amp;"s;
TRIP BRANCH 'DED330_SM330|FAR' AT "&amp;Table17354[[#This Row],[FAR]]+Table17354[[#This Row],[Fault_Time_sig]]&amp;"s;
APPLY FAULT TO BRANCH 'DED330_SM330'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'DED330_SM330|NEAR' AT 5.1s;
TRIP BRANCH 'DED330_SM330|FAR' AT 5.12s;
APPLY FAULT TO BRANCH 'DED330_SM330' AT 5s WITH TYPE=4, RF_OFFSET=0, XF_OFFSET=0, DURATION=0.12s, DISTANCE=0.01</v>
      </c>
      <c r="AC33" s="5">
        <v>20</v>
      </c>
      <c r="AD33" s="6"/>
      <c r="AE33" s="6"/>
      <c r="AF33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5.1s;
TRIP BRANCH 'BAL220_WAR220|FAR' AT 5.12s;
APPLY FAULT TO BRANCH 'BAL220_WAR220' AT 5s WITH TYPE=4, RF_OFFSET=0, XF_OFFSET=0, DURATION=0.12s, DISTANCE=0.01</v>
      </c>
      <c r="AG33" s="6"/>
    </row>
    <row r="34" spans="1:34" ht="43.2" customHeight="1" x14ac:dyDescent="0.3">
      <c r="A34" s="9" t="s">
        <v>24</v>
      </c>
      <c r="B34" s="4" t="str">
        <f>IF(Table17354[[#This Row],[Fault_Type_sig]]=7,"Balanced Faults",IF(Table17354[[#This Row],[Fault_Type_sig]]=4,"Unbalanced Faults","Plant Trip"))</f>
        <v>Unbalanced Faults</v>
      </c>
      <c r="C34" s="4" t="s">
        <v>104</v>
      </c>
      <c r="D34" s="9">
        <v>33</v>
      </c>
      <c r="E34" s="9"/>
      <c r="F34" s="4" t="s">
        <v>104</v>
      </c>
      <c r="G34" s="10" t="str">
        <f t="shared" si="0"/>
        <v>SummerHigh_033</v>
      </c>
      <c r="H34" s="5">
        <v>100</v>
      </c>
      <c r="I34" s="9" t="b">
        <v>1</v>
      </c>
      <c r="J34" s="9" t="b">
        <v>1</v>
      </c>
      <c r="K34" s="9">
        <v>0.1</v>
      </c>
      <c r="L34" s="9">
        <v>0.12</v>
      </c>
      <c r="M34" s="9"/>
      <c r="N34" s="9" t="b">
        <v>0</v>
      </c>
      <c r="O34" s="9">
        <v>3</v>
      </c>
      <c r="P34" s="4">
        <v>4</v>
      </c>
      <c r="Q34" s="9">
        <v>5</v>
      </c>
      <c r="R34" s="4">
        <f>IF(Table17354[[#This Row],[CB FAIL SCENARIO]],MAX(Table17354[[#This Row],[NEAR]:[CB FAIL]]),MAX(Table17354[[#This Row],[NEAR]:[FAR]]))</f>
        <v>0.12</v>
      </c>
      <c r="S34" s="9"/>
      <c r="T34" s="9">
        <v>0</v>
      </c>
      <c r="U34" s="9">
        <v>0</v>
      </c>
      <c r="V34" s="9">
        <v>0</v>
      </c>
      <c r="W34" s="4">
        <v>10</v>
      </c>
      <c r="X34" s="4">
        <v>0.99</v>
      </c>
      <c r="Y34" s="9" t="b">
        <v>1</v>
      </c>
      <c r="Z34" s="9" t="b">
        <v>1</v>
      </c>
      <c r="AA34" s="17" t="str">
        <f>"0, AT "&amp;(Table17354[[#This Row],[Fault_Time_sig]])&amp;"s ↑ 1, at "&amp;(Table17354[[#This Row],[Fault_Time_sig]]+Table17354[[#This Row],[Fault_Duration_sig]])&amp;"s ↓ 0"</f>
        <v>0, AT 5s ↑ 1, at 5.12s ↓ 0</v>
      </c>
      <c r="AB34" s="13" t="str">
        <f>"TRIP BRANCH 'LWTM330_MUR330|NEAR' AT "&amp;Table17354[[#This Row],[NEAR]]+Table17354[[#This Row],[Fault_Time_sig]]&amp;"s;
TRIP BRANCH 'LWTM330_MUR330|FAR' AT "&amp;Table17354[[#This Row],[FAR]]+Table17354[[#This Row],[Fault_Time_sig]]&amp;"s;
APPLY FAULT TO BRANCH 'LWTM330_MUR330'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'LWTM330_MUR330|NEAR' AT 5.1s;
TRIP BRANCH 'LWTM330_MUR330|FAR' AT 5.12s;
APPLY FAULT TO BRANCH 'LWTM330_MUR330' AT 5s WITH TYPE=4, RF_OFFSET=0, XF_OFFSET=0, DURATION=0.12s, DISTANCE=0.99</v>
      </c>
      <c r="AC34" s="5">
        <v>20</v>
      </c>
      <c r="AD34" s="6"/>
      <c r="AE34" s="6"/>
      <c r="AF34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5.1s;
TRIP BRANCH 'BAL220_WAR220|FAR' AT 5.12s;
APPLY FAULT TO BRANCH 'BAL220_WAR220' AT 5s WITH TYPE=4, RF_OFFSET=0, XF_OFFSET=0, DURATION=0.12s, DISTANCE=0.99</v>
      </c>
      <c r="AG34" s="6"/>
    </row>
    <row r="35" spans="1:34" ht="43.2" customHeight="1" x14ac:dyDescent="0.3">
      <c r="A35" s="9" t="s">
        <v>24</v>
      </c>
      <c r="B35" s="4" t="str">
        <f>IF(Table17354[[#This Row],[Fault_Type_sig]]=7,"Balanced Faults",IF(Table17354[[#This Row],[Fault_Type_sig]]=4,"Unbalanced Faults","Plant Trip"))</f>
        <v>Unbalanced Faults</v>
      </c>
      <c r="C35" s="4" t="s">
        <v>104</v>
      </c>
      <c r="D35" s="4">
        <v>34</v>
      </c>
      <c r="E35" s="9"/>
      <c r="F35" s="4" t="s">
        <v>104</v>
      </c>
      <c r="G35" s="10" t="str">
        <f t="shared" si="0"/>
        <v>SummerHigh_034</v>
      </c>
      <c r="H35" s="5">
        <v>100</v>
      </c>
      <c r="I35" s="9" t="b">
        <v>1</v>
      </c>
      <c r="J35" s="9" t="b">
        <v>1</v>
      </c>
      <c r="K35" s="9">
        <v>0.1</v>
      </c>
      <c r="L35" s="9">
        <v>0.12</v>
      </c>
      <c r="M35" s="9"/>
      <c r="N35" s="9" t="b">
        <v>0</v>
      </c>
      <c r="O35" s="9">
        <v>3</v>
      </c>
      <c r="P35" s="4">
        <v>4</v>
      </c>
      <c r="Q35" s="9">
        <v>5</v>
      </c>
      <c r="R35" s="4">
        <f>IF(Table17354[[#This Row],[CB FAIL SCENARIO]],MAX(Table17354[[#This Row],[NEAR]:[CB FAIL]]),MAX(Table17354[[#This Row],[NEAR]:[FAR]]))</f>
        <v>0.12</v>
      </c>
      <c r="S35" s="9"/>
      <c r="T35" s="9">
        <v>0</v>
      </c>
      <c r="U35" s="9">
        <v>0</v>
      </c>
      <c r="V35" s="9">
        <v>0</v>
      </c>
      <c r="W35" s="4">
        <v>10</v>
      </c>
      <c r="X35" s="4">
        <v>0.99</v>
      </c>
      <c r="Y35" s="9" t="b">
        <v>1</v>
      </c>
      <c r="Z35" s="9" t="b">
        <v>1</v>
      </c>
      <c r="AA35" s="17" t="str">
        <f>"0, AT "&amp;(Table17354[[#This Row],[Fault_Time_sig]])&amp;"s ↑ 1, at "&amp;(Table17354[[#This Row],[Fault_Time_sig]]+Table17354[[#This Row],[Fault_Duration_sig]])&amp;"s ↓ 0"</f>
        <v>0, AT 5s ↑ 1, at 5.12s ↓ 0</v>
      </c>
      <c r="AB35" s="13" t="str">
        <f>"TRIP BRANCH 'LWTM330_UPTM330|NEAR' AT "&amp;Table17354[[#This Row],[NEAR]]+Table17354[[#This Row],[Fault_Time_sig]]&amp;"s;
TRIP BRANCH 'LWTM330_UPTM330|FAR' AT "&amp;Table17354[[#This Row],[FAR]]+Table17354[[#This Row],[Fault_Time_sig]]&amp;"s;
APPLY FAULT TO BRANCH 'LWTM330_UPTM330'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'LWTM330_UPTM330|NEAR' AT 5.1s;
TRIP BRANCH 'LWTM330_UPTM330|FAR' AT 5.12s;
APPLY FAULT TO BRANCH 'LWTM330_UPTM330' AT 5s WITH TYPE=4, RF_OFFSET=0, XF_OFFSET=0, DURATION=0.12s, DISTANCE=0.99</v>
      </c>
      <c r="AC35" s="5">
        <v>20</v>
      </c>
      <c r="AD35" s="6"/>
      <c r="AE35" s="6"/>
      <c r="AF35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5.1s;
TRIP BRANCH 'BAL220_WAR220|FAR' AT 5.12s;
APPLY FAULT TO BRANCH 'BAL220_WAR220' AT 5s WITH TYPE=4, RF_OFFSET=0, XF_OFFSET=0, DURATION=0.12s, DISTANCE=0.99</v>
      </c>
      <c r="AG35" s="6"/>
    </row>
    <row r="36" spans="1:34" ht="219.6" customHeight="1" x14ac:dyDescent="0.3">
      <c r="A36" s="4" t="s">
        <v>24</v>
      </c>
      <c r="B36" s="4" t="str">
        <f>IF(Table17354[[#This Row],[Fault_Type_sig]]=7,"Balanced Faults",IF(Table17354[[#This Row],[Fault_Type_sig]]=4,"Unbalanced Faults","Plant Trip"))</f>
        <v>Balanced Faults</v>
      </c>
      <c r="C36" s="4" t="s">
        <v>104</v>
      </c>
      <c r="D36" s="4">
        <v>35</v>
      </c>
      <c r="E36" s="4"/>
      <c r="F36" s="4" t="s">
        <v>104</v>
      </c>
      <c r="G36" s="5" t="str">
        <f t="shared" si="0"/>
        <v>SummerHigh_035</v>
      </c>
      <c r="H36" s="5">
        <v>100</v>
      </c>
      <c r="I36" s="4" t="b">
        <v>1</v>
      </c>
      <c r="J36" s="4" t="b">
        <v>1</v>
      </c>
      <c r="K36" s="4">
        <v>0.25</v>
      </c>
      <c r="L36" s="4">
        <v>0.25</v>
      </c>
      <c r="M36" s="4"/>
      <c r="N36" s="4" t="b">
        <v>0</v>
      </c>
      <c r="O36" s="4">
        <v>3</v>
      </c>
      <c r="P36" s="4">
        <v>7</v>
      </c>
      <c r="Q36" s="4">
        <v>5</v>
      </c>
      <c r="R36" s="4">
        <f>IF(Table17354[[#This Row],[CB FAIL SCENARIO]],MAX(Table17354[[#This Row],[NEAR]:[CB FAIL]]),MAX(Table17354[[#This Row],[NEAR]:[FAR]]))</f>
        <v>0.25</v>
      </c>
      <c r="S36" s="4"/>
      <c r="T36" s="4">
        <v>0</v>
      </c>
      <c r="U36" s="4">
        <v>0</v>
      </c>
      <c r="V36" s="4">
        <v>0</v>
      </c>
      <c r="W36" s="4">
        <v>10</v>
      </c>
      <c r="X36" s="4">
        <v>0.5</v>
      </c>
      <c r="Y36" s="4" t="b">
        <v>1</v>
      </c>
      <c r="Z36" s="4" t="b">
        <v>1</v>
      </c>
      <c r="AA36" s="4" t="str">
        <f>"0, AT "&amp;(Table17354[[#This Row],[Fault_Time_sig]])&amp;"s ↑ 1, at "&amp;(Table17354[[#This Row],[Fault_Time_sig]]+Table17354[[#This Row],[Fault_Duration_sig]])&amp;"s ↓ 0"</f>
        <v>0, AT 5s ↑ 1, at 5.25s ↓ 0</v>
      </c>
      <c r="AB36" s="13" t="str">
        <f>"TRIP BRANCH 'DEDTXDUMMY|NEAR' AT "&amp;Table17354[[#This Row],[NEAR]]+Table17354[[#This Row],[Fault_Time_sig]]&amp;"s;
TRIP BRANCH 'DEDTXDUMMY|FAR' AT "&amp;Table17354[[#This Row],[FAR]]+Table17354[[#This Row],[Fault_Time_sig]]&amp;"s;
RESTORE BRANCH 'DEDTXDUMMY|NEAR' AT "&amp;Table17354[[#This Row],[NEAR]]+Table17354[[#This Row],[RECLOSE]]+Table17354[[#This Row],[Fault_Time_sig]]&amp;"s;
RESTORE BRANCH 'DEDTXDUMMY|FAR' AT "&amp;Table17354[[#This Row],[NEAR]]+Table17354[[#This Row],[RECLOSE]]+Table17354[[#This Row],[Fault_Time_sig]]&amp;"s;
APPLY FAULT TO BRANCH 'DEDTXDUMMY'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'DEDTXDUMMY|NEAR' AT 5.25s;
TRIP BRANCH 'DEDTXDUMMY|FAR' AT 5.25s;
RESTORE BRANCH 'DEDTXDUMMY|NEAR' AT 8.25s;
RESTORE BRANCH 'DEDTXDUMMY|FAR' AT 8.25s;
APPLY FAULT TO BRANCH 'DEDTXDUMMY' AT 5s WITH TYPE=7, RF_OFFSET=0, XF_OFFSET=0, DURATION=0.25s, DISTANCE=0.5</v>
      </c>
      <c r="AC36" s="5">
        <v>20</v>
      </c>
      <c r="AD36" s="6"/>
      <c r="AE36" s="6"/>
      <c r="AF36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5.25s;
TRIP BRANCH 'BAL220_WAR220|FAR' AT 5.25s;
APPLY FAULT TO BRANCH 'BAL220_WAR220' AT 5s WITH TYPE=7, RF_OFFSET=0, XF_OFFSET=0, DURATION=0.25s, DISTANCE=0.5</v>
      </c>
      <c r="AG36" s="6" t="s">
        <v>99</v>
      </c>
      <c r="AH36" s="13" t="str">
        <f>"TRIP BRANCH 'DEDTXDUMMY|NEAR' AT "&amp;10+Table17354[[#This Row],[Fault_Time_sig]]&amp;"s;
TRIP BRANCH 'DEDTXDUMMY|FAR' AT "&amp;10+Table17354[[#This Row],[Fault_Time_sig]]&amp;"s;
TRIP BRANCH 'DEDTXDUMMY2|NEAR' AT "&amp;10+Table17354[[#This Row],[Fault_Time_sig]]&amp;"s;
TRIP BRANCH 'DEDTXDUMMY2|FAR' AT "&amp;10+Table17354[[#This Row],[Fault_Time_sig]]&amp;"s;
TRIP BRANCH 'DED330_MUR330No2|NEAR' AT "&amp;10+Table17354[[#This Row],[Fault_Time_sig]]&amp;"s;
TRIP BRANCH 'DED330_MUR330No2|FAR' AT "&amp;10+Table17354[[#This Row],[Fault_Time_sig]]&amp;"s;
TRIP SWITCHED_SHUNT 'DED' AT "&amp;10+Table17354[[#This Row],[Fault_Time_sig]]&amp;"s"</f>
        <v>TRIP BRANCH 'DEDTXDUMMY|NEAR' AT 15s;
TRIP BRANCH 'DEDTXDUMMY|FAR' AT 15s;
TRIP BRANCH 'DEDTXDUMMY2|NEAR' AT 15s;
TRIP BRANCH 'DEDTXDUMMY2|FAR' AT 15s;
TRIP BRANCH 'DED330_MUR330No2|NEAR' AT 15s;
TRIP BRANCH 'DED330_MUR330No2|FAR' AT 15s;
TRIP SWITCHED_SHUNT 'DED' AT 15s</v>
      </c>
    </row>
    <row r="37" spans="1:34" ht="165.6" customHeight="1" x14ac:dyDescent="0.3">
      <c r="A37" s="4" t="s">
        <v>24</v>
      </c>
      <c r="B37" s="4" t="str">
        <f>IF(Table17354[[#This Row],[Fault_Type_sig]]=7,"Balanced Faults",IF(Table17354[[#This Row],[Fault_Type_sig]]=4,"Unbalanced Faults","Plant Trip"))</f>
        <v>Balanced Faults</v>
      </c>
      <c r="C37" s="4" t="s">
        <v>104</v>
      </c>
      <c r="D37" s="4">
        <v>36</v>
      </c>
      <c r="E37" s="4"/>
      <c r="F37" s="4" t="s">
        <v>104</v>
      </c>
      <c r="G37" s="5" t="str">
        <f t="shared" si="0"/>
        <v>SummerHigh_036</v>
      </c>
      <c r="H37" s="5">
        <v>100</v>
      </c>
      <c r="I37" s="4" t="b">
        <v>1</v>
      </c>
      <c r="J37" s="4" t="b">
        <v>1</v>
      </c>
      <c r="K37" s="4">
        <v>0.1</v>
      </c>
      <c r="L37" s="4">
        <v>0.1</v>
      </c>
      <c r="M37" s="4"/>
      <c r="N37" s="4" t="b">
        <v>0</v>
      </c>
      <c r="O37" s="4">
        <v>3</v>
      </c>
      <c r="P37" s="4">
        <v>7</v>
      </c>
      <c r="Q37" s="4">
        <v>5</v>
      </c>
      <c r="R37" s="4">
        <f>IF(Table17354[[#This Row],[CB FAIL SCENARIO]],MAX(Table17354[[#This Row],[NEAR]:[CB FAIL]]),MAX(Table17354[[#This Row],[NEAR]:[FAR]]))</f>
        <v>0.1</v>
      </c>
      <c r="S37" s="4"/>
      <c r="T37" s="4">
        <v>0</v>
      </c>
      <c r="U37" s="4">
        <v>0</v>
      </c>
      <c r="V37" s="4">
        <v>0</v>
      </c>
      <c r="W37" s="4">
        <v>10</v>
      </c>
      <c r="X37" s="4">
        <v>0.5</v>
      </c>
      <c r="Y37" s="4" t="b">
        <v>1</v>
      </c>
      <c r="Z37" s="4" t="b">
        <v>1</v>
      </c>
      <c r="AA37" s="4" t="str">
        <f>"0, AT "&amp;(Table17354[[#This Row],[Fault_Time_sig]])&amp;"s ↑ 1, at "&amp;(Table17354[[#This Row],[Fault_Time_sig]]+Table17354[[#This Row],[Fault_Duration_sig]])&amp;"s ↓ 0"</f>
        <v>0, AT 5s ↑ 1, at 5.1s ↓ 0</v>
      </c>
      <c r="AB37" s="13" t="str">
        <f>"TRIP BRANCH 'SMTXDUMMY|NEAR' AT "&amp;Table17354[[#This Row],[NEAR]]+Table17354[[#This Row],[Fault_Time_sig]]&amp;"s;
TRIP BRANCH 'SMTXDUMMY|FAR' AT "&amp;Table17354[[#This Row],[FAR]]+Table17354[[#This Row],[Fault_Time_sig]]&amp;"s;
RESTORE BRANCH 'SMTXDUMMY|NEAR' AT "&amp;Table17354[[#This Row],[NEAR]]+Table17354[[#This Row],[RECLOSE]]+Table17354[[#This Row],[Fault_Time_sig]]&amp;"s;
RESTORE BRANCH 'SMTXDUMMY|FAR' AT "&amp;Table17354[[#This Row],[NEAR]]+Table17354[[#This Row],[RECLOSE]]+Table17354[[#This Row],[Fault_Time_sig]]&amp;"s;
APPLY FAULT TO BRANCH 'SMTXDUMMY'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'SMTXDUMMY|NEAR' AT 5.1s;
TRIP BRANCH 'SMTXDUMMY|FAR' AT 5.1s;
RESTORE BRANCH 'SMTXDUMMY|NEAR' AT 8.1s;
RESTORE BRANCH 'SMTXDUMMY|FAR' AT 8.1s;
APPLY FAULT TO BRANCH 'SMTXDUMMY' AT 5s WITH TYPE=7, RF_OFFSET=0, XF_OFFSET=0, DURATION=0.1s, DISTANCE=0.5</v>
      </c>
      <c r="AC37" s="5">
        <v>20</v>
      </c>
      <c r="AD37" s="6"/>
      <c r="AE37" s="6"/>
      <c r="AF37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5.1s;
TRIP BRANCH 'BAL220_WAR220|FAR' AT 5.1s;
APPLY FAULT TO BRANCH 'BAL220_WAR220' AT 5s WITH TYPE=7, RF_OFFSET=0, XF_OFFSET=0, DURATION=0.1s, DISTANCE=0.5</v>
      </c>
      <c r="AG37" s="6"/>
    </row>
    <row r="38" spans="1:34" ht="195.6" customHeight="1" x14ac:dyDescent="0.3">
      <c r="A38" s="9" t="s">
        <v>24</v>
      </c>
      <c r="B38" s="4" t="str">
        <f>IF(Table17354[[#This Row],[Fault_Type_sig]]=7,"Balanced Faults",IF(Table17354[[#This Row],[Fault_Type_sig]]=4,"Unbalanced Faults","Plant Trip"))</f>
        <v>Balanced Faults</v>
      </c>
      <c r="C38" s="4" t="s">
        <v>104</v>
      </c>
      <c r="D38" s="9">
        <v>37</v>
      </c>
      <c r="E38" s="9"/>
      <c r="F38" s="4" t="s">
        <v>104</v>
      </c>
      <c r="G38" s="10" t="str">
        <f t="shared" si="0"/>
        <v>SummerHigh_037</v>
      </c>
      <c r="H38" s="5">
        <v>100</v>
      </c>
      <c r="I38" s="9" t="b">
        <v>1</v>
      </c>
      <c r="J38" s="9" t="b">
        <v>1</v>
      </c>
      <c r="K38" s="9">
        <v>0.43</v>
      </c>
      <c r="L38" s="9">
        <v>0.43</v>
      </c>
      <c r="M38" s="9"/>
      <c r="N38" s="4" t="b">
        <v>0</v>
      </c>
      <c r="O38" s="9">
        <v>3</v>
      </c>
      <c r="P38" s="9">
        <v>7</v>
      </c>
      <c r="Q38" s="9">
        <v>5</v>
      </c>
      <c r="R38" s="4">
        <f>IF(Table17354[[#This Row],[CB FAIL SCENARIO]],MAX(Table17354[[#This Row],[NEAR]:[CB FAIL]]),MAX(Table17354[[#This Row],[NEAR]:[FAR]]))</f>
        <v>0.43</v>
      </c>
      <c r="S38" s="9"/>
      <c r="T38" s="9">
        <v>0</v>
      </c>
      <c r="U38" s="9">
        <v>0</v>
      </c>
      <c r="V38" s="9">
        <v>0</v>
      </c>
      <c r="W38" s="9">
        <v>10</v>
      </c>
      <c r="X38" s="9">
        <v>0.5</v>
      </c>
      <c r="Y38" s="9" t="b">
        <v>1</v>
      </c>
      <c r="Z38" s="9" t="b">
        <v>1</v>
      </c>
      <c r="AA38" s="17" t="str">
        <f>"0, AT "&amp;(Table17354[[#This Row],[Fault_Time_sig]])&amp;"s ↑ 1, at "&amp;(Table17354[[#This Row],[Fault_Time_sig]]+Table17354[[#This Row],[Fault_Duration_sig]])&amp;"s ↓ 0"</f>
        <v>0, AT 5s ↑ 1, at 5.43s ↓ 0</v>
      </c>
      <c r="AB38" s="14" t="str">
        <f>"TRIP BRANCH 'SHPTXDUMMY|NEAR' AT "&amp;Table17354[[#This Row],[NEAR]]+Table17354[[#This Row],[Fault_Time_sig]]&amp;"s;
TRIP BRANCH 'SHPTXDUMMY|FAR' AT "&amp;Table17354[[#This Row],[FAR]]+Table17354[[#This Row],[Fault_Time_sig]]&amp;"s;
RESTORE BRANCH 'SHPTXDUMMY|NEAR' AT "&amp;Table17354[[#This Row],[NEAR]]+Table17354[[#This Row],[RECLOSE]]+Table17354[[#This Row],[Fault_Time_sig]]&amp;"s;
RESTORE BRANCH 'SHPTXDUMMY|FAR' AT "&amp;Table17354[[#This Row],[NEAR]]+Table17354[[#This Row],[RECLOSE]]+Table17354[[#This Row],[Fault_Time_sig]]&amp;"s;
APPLY FAULT TO BRANCH 'SHPTXDUMMY'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'SHPTXDUMMY|NEAR' AT 5.43s;
TRIP BRANCH 'SHPTXDUMMY|FAR' AT 5.43s;
RESTORE BRANCH 'SHPTXDUMMY|NEAR' AT 8.43s;
RESTORE BRANCH 'SHPTXDUMMY|FAR' AT 8.43s;
APPLY FAULT TO BRANCH 'SHPTXDUMMY' AT 5s WITH TYPE=7, RF_OFFSET=0, XF_OFFSET=0, DURATION=0.43s, DISTANCE=0.5</v>
      </c>
      <c r="AC38" s="5">
        <v>20</v>
      </c>
      <c r="AD38" s="11"/>
      <c r="AE38" s="11"/>
      <c r="AF38" s="1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5.43s;
TRIP BRANCH 'BAL220_WAR220|FAR' AT 5.43s;
APPLY FAULT TO BRANCH 'BAL220_WAR220' AT 5s WITH TYPE=7, RF_OFFSET=0, XF_OFFSET=0, DURATION=0.43s, DISTANCE=0.5</v>
      </c>
      <c r="AG38" s="16"/>
    </row>
    <row r="39" spans="1:34" ht="43.2" customHeight="1" x14ac:dyDescent="0.3">
      <c r="A39" s="4" t="s">
        <v>24</v>
      </c>
      <c r="B39" s="4" t="str">
        <f>IF(Table17354[[#This Row],[Fault_Type_sig]]=7,"Balanced Faults",IF(Table17354[[#This Row],[Fault_Type_sig]]=4,"Unbalanced Faults","Plant Trip"))</f>
        <v>Plant Trip</v>
      </c>
      <c r="C39" s="4" t="s">
        <v>104</v>
      </c>
      <c r="D39" s="4">
        <v>38</v>
      </c>
      <c r="E39" s="4"/>
      <c r="F39" s="4" t="s">
        <v>104</v>
      </c>
      <c r="G39" s="5" t="str">
        <f t="shared" si="0"/>
        <v>SummerHigh_038</v>
      </c>
      <c r="H39" s="5">
        <v>100</v>
      </c>
      <c r="I39" s="4" t="b">
        <v>1</v>
      </c>
      <c r="J39" s="4" t="b">
        <v>1</v>
      </c>
      <c r="K39" s="4">
        <v>0</v>
      </c>
      <c r="L39" s="4">
        <v>0</v>
      </c>
      <c r="M39" s="4"/>
      <c r="N39" s="4" t="b">
        <v>0</v>
      </c>
      <c r="O39" s="4">
        <v>3</v>
      </c>
      <c r="P39" s="4"/>
      <c r="Q39" s="4">
        <v>5</v>
      </c>
      <c r="R39" s="4">
        <f>IF(Table17354[[#This Row],[CB FAIL SCENARIO]],MAX(Table17354[[#This Row],[NEAR]:[CB FAIL]]),MAX(Table17354[[#This Row],[NEAR]:[FAR]]))</f>
        <v>0</v>
      </c>
      <c r="S39" s="4"/>
      <c r="T39" s="4">
        <v>0</v>
      </c>
      <c r="U39" s="4">
        <v>0</v>
      </c>
      <c r="V39" s="4">
        <v>0</v>
      </c>
      <c r="W39" s="4">
        <v>10</v>
      </c>
      <c r="X39" s="4">
        <v>0.5</v>
      </c>
      <c r="Y39" s="4" t="b">
        <v>1</v>
      </c>
      <c r="Z39" s="4" t="b">
        <v>1</v>
      </c>
      <c r="AA39" s="4" t="str">
        <f>"0, AT "&amp;(Table17354[[#This Row],[Fault_Time_sig]])&amp;"s ↑ 1, at "&amp;(Table17354[[#This Row],[Fault_Time_sig]]+Table17354[[#This Row],[Fault_Duration_sig]])&amp;"s ↓ 0"</f>
        <v>0, AT 5s ↑ 1, at 5s ↓ 0</v>
      </c>
      <c r="AB39" s="13" t="s">
        <v>45</v>
      </c>
      <c r="AC39" s="5">
        <v>20</v>
      </c>
      <c r="AD39" s="6"/>
      <c r="AE39" s="6"/>
      <c r="AF39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5s;
TRIP BRANCH 'BAL220_WAR220|FAR' AT 5s;
APPLY FAULT TO BRANCH 'BAL220_WAR220' AT 5s WITH TYPE=, RF_OFFSET=0, XF_OFFSET=0, DURATION=0s, DISTANCE=0.5</v>
      </c>
      <c r="AG39" s="6"/>
    </row>
    <row r="40" spans="1:34" ht="181.2" customHeight="1" x14ac:dyDescent="0.3">
      <c r="A40" s="4" t="s">
        <v>24</v>
      </c>
      <c r="B40" s="4" t="str">
        <f>IF(Table17354[[#This Row],[Fault_Type_sig]]=7,"Balanced Faults",IF(Table17354[[#This Row],[Fault_Type_sig]]=4,"Unbalanced Faults","Plant Trip"))</f>
        <v>Balanced Faults</v>
      </c>
      <c r="C40" s="4" t="s">
        <v>104</v>
      </c>
      <c r="D40" s="4">
        <v>39</v>
      </c>
      <c r="E40" s="4"/>
      <c r="F40" s="4" t="s">
        <v>104</v>
      </c>
      <c r="G40" s="5" t="str">
        <f t="shared" si="0"/>
        <v>SummerHigh_039</v>
      </c>
      <c r="H40" s="5">
        <v>100</v>
      </c>
      <c r="I40" s="4" t="b">
        <v>1</v>
      </c>
      <c r="J40" s="4" t="b">
        <v>1</v>
      </c>
      <c r="K40" s="4">
        <v>0.08</v>
      </c>
      <c r="L40" s="4">
        <v>0.08</v>
      </c>
      <c r="M40" s="4"/>
      <c r="N40" s="4" t="b">
        <v>0</v>
      </c>
      <c r="O40" s="4">
        <v>3</v>
      </c>
      <c r="P40" s="4">
        <v>7</v>
      </c>
      <c r="Q40" s="4">
        <v>5</v>
      </c>
      <c r="R40" s="4">
        <f>IF(Table17354[[#This Row],[CB FAIL SCENARIO]],MAX(Table17354[[#This Row],[NEAR]:[CB FAIL]]),MAX(Table17354[[#This Row],[NEAR]:[FAR]]))</f>
        <v>0.08</v>
      </c>
      <c r="S40" s="4"/>
      <c r="T40" s="4">
        <v>0</v>
      </c>
      <c r="U40" s="4">
        <v>0</v>
      </c>
      <c r="V40" s="4">
        <v>0</v>
      </c>
      <c r="W40" s="4">
        <v>10</v>
      </c>
      <c r="X40" s="4">
        <v>0.5</v>
      </c>
      <c r="Y40" s="4" t="b">
        <v>1</v>
      </c>
      <c r="Z40" s="4" t="b">
        <v>1</v>
      </c>
      <c r="AA40" s="4" t="str">
        <f>"0, AT "&amp;(Table17354[[#This Row],[Fault_Time_sig]])&amp;"s ↑ 1, at "&amp;(Table17354[[#This Row],[Fault_Time_sig]]+Table17354[[#This Row],[Fault_Duration_sig]])&amp;"s ↓ 0"</f>
        <v>0, AT 5s ↑ 1, at 5.08s ↓ 0</v>
      </c>
      <c r="AB40" s="14" t="str">
        <f>"TRIP BRANCH 'LYB4|NEAR' AT "&amp;Table17354[[#This Row],[NEAR]]+Table17354[[#This Row],[Fault_Time_sig]]&amp;"s;
TRIP BRANCH 'LYB4|FAR' AT "&amp;Table17354[[#This Row],[FAR]]+Table17354[[#This Row],[Fault_Time_sig]]&amp;"s;
RESTORE BRANCH 'LYB4|NEAR' AT "&amp;Table17354[[#This Row],[NEAR]]+Table17354[[#This Row],[RECLOSE]]+Table17354[[#This Row],[Fault_Time_sig]]&amp;"s;
RESTORE BRANCH 'LYB4|FAR' AT "&amp;Table17354[[#This Row],[NEAR]]+Table17354[[#This Row],[RECLOSE]]+Table17354[[#This Row],[Fault_Time_sig]]&amp;"s;
APPLY FAULT TO BRANCH 'LYB4'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'LYB4|NEAR' AT 5.08s;
TRIP BRANCH 'LYB4|FAR' AT 5.08s;
RESTORE BRANCH 'LYB4|NEAR' AT 8.08s;
RESTORE BRANCH 'LYB4|FAR' AT 8.08s;
APPLY FAULT TO BRANCH 'LYB4' AT 5s WITH TYPE=7, RF_OFFSET=0, XF_OFFSET=0, DURATION=0.08s, DISTANCE=0.5</v>
      </c>
      <c r="AC40" s="5">
        <v>20</v>
      </c>
      <c r="AD40" s="6"/>
      <c r="AE40" s="6"/>
      <c r="AF40" s="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5.08s;
TRIP BRANCH 'BAL220_WAR220|FAR' AT 5.08s;
APPLY FAULT TO BRANCH 'BAL220_WAR220' AT 5s WITH TYPE=7, RF_OFFSET=0, XF_OFFSET=0, DURATION=0.08s, DISTANCE=0.5</v>
      </c>
      <c r="AG40" s="6"/>
    </row>
    <row r="41" spans="1:34" ht="43.2" customHeight="1" x14ac:dyDescent="0.3">
      <c r="A41" s="9" t="s">
        <v>24</v>
      </c>
      <c r="B41" s="4" t="str">
        <f>IF(Table17354[[#This Row],[Fault_Type_sig]]=7,"Balanced Faults",IF(Table17354[[#This Row],[Fault_Type_sig]]=4,"Unbalanced Faults","Plant Trip"))</f>
        <v>Plant Trip</v>
      </c>
      <c r="C41" s="4" t="s">
        <v>104</v>
      </c>
      <c r="D41" s="9">
        <v>40</v>
      </c>
      <c r="E41" s="9"/>
      <c r="F41" s="4" t="s">
        <v>104</v>
      </c>
      <c r="G41" s="10" t="str">
        <f t="shared" si="0"/>
        <v>SummerHigh_040</v>
      </c>
      <c r="H41" s="5">
        <v>100</v>
      </c>
      <c r="I41" s="9" t="b">
        <v>1</v>
      </c>
      <c r="J41" s="9" t="b">
        <v>1</v>
      </c>
      <c r="K41" s="9">
        <v>0</v>
      </c>
      <c r="L41" s="9">
        <v>0</v>
      </c>
      <c r="M41" s="9"/>
      <c r="N41" s="4" t="b">
        <v>0</v>
      </c>
      <c r="O41" s="9">
        <v>3</v>
      </c>
      <c r="P41" s="9"/>
      <c r="Q41" s="9">
        <v>5</v>
      </c>
      <c r="R41" s="4">
        <f>IF(Table17354[[#This Row],[CB FAIL SCENARIO]],MAX(Table17354[[#This Row],[NEAR]:[CB FAIL]]),MAX(Table17354[[#This Row],[NEAR]:[FAR]]))</f>
        <v>0</v>
      </c>
      <c r="S41" s="9"/>
      <c r="T41" s="9">
        <v>0</v>
      </c>
      <c r="U41" s="9">
        <v>0</v>
      </c>
      <c r="V41" s="9">
        <v>0</v>
      </c>
      <c r="W41" s="9">
        <v>10</v>
      </c>
      <c r="X41" s="9">
        <v>0.5</v>
      </c>
      <c r="Y41" s="9" t="b">
        <v>1</v>
      </c>
      <c r="Z41" s="9" t="b">
        <v>1</v>
      </c>
      <c r="AA41" s="17" t="str">
        <f>"0, AT "&amp;(Table17354[[#This Row],[Fault_Time_sig]])&amp;"s ↑ 1, at "&amp;(Table17354[[#This Row],[Fault_Time_sig]]+Table17354[[#This Row],[Fault_Duration_sig]])&amp;"s ↓ 0"</f>
        <v>0, AT 5s ↑ 1, at 5s ↓ 0</v>
      </c>
      <c r="AB41" s="14" t="str">
        <f>"TRIP LOAD 'APD' AT "&amp;Table17354[[#This Row],[Fault_Time_sig]]&amp;"s"</f>
        <v>TRIP LOAD 'APD' AT 5s</v>
      </c>
      <c r="AC41" s="5">
        <v>20</v>
      </c>
      <c r="AD41" s="11"/>
      <c r="AE41" s="11"/>
      <c r="AF41" s="16" t="str">
        <f>"TRIP BRANCH 'BAL220_WAR220|NEAR' AT "&amp;Table17354[[#This Row],[NEAR]]+Table17354[[#This Row],[Fault_Time_sig]]&amp;"s;
TRIP BRANCH 'BAL220_WAR220|FAR' AT "&amp;Table17354[[#This Row],[FAR]]+Table17354[[#This Row],[Fault_Time_sig]]&amp;"s;
APPLY FAULT TO BRANCH 'BAL220_WAR220' AT "&amp;Table17354[[#This Row],[Fault_Time_sig]]&amp;"s WITH "
&amp;"TYPE="&amp;Table17354[[#This Row],[Fault_Type_sig]]
&amp;IF(Table17354[[#This Row],[Rf_Offset_sig]]="","",", RF_OFFSET="&amp;Table17354[[#This Row],[Rf_Offset_sig]])
&amp;IF(Table17354[[#This Row],[Xf_Offset_sig]]="","",", XF_OFFSET="&amp;Table17354[[#This Row],[Xf_Offset_sig]])
&amp;IF(Table17354[[#This Row],[Fault_Duration_sig]]="","",", DURATION="&amp;Table17354[[#This Row],[Fault_Duration_sig]]&amp;"s")
&amp;IF(Table17354[[#This Row],[Distance]]="","",", DISTANCE="&amp;Table17354[[#This Row],[Distance]])</f>
        <v>TRIP BRANCH 'BAL220_WAR220|NEAR' AT 5s;
TRIP BRANCH 'BAL220_WAR220|FAR' AT 5s;
APPLY FAULT TO BRANCH 'BAL220_WAR220' AT 5s WITH TYPE=, RF_OFFSET=0, XF_OFFSET=0, DURATION=0s, DISTANCE=0.5</v>
      </c>
      <c r="AG41" s="1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6E03-79C5-43BE-BF1A-B507B8BF9451}">
  <sheetPr>
    <tabColor rgb="FF92D050"/>
  </sheetPr>
  <dimension ref="A1:AJ41"/>
  <sheetViews>
    <sheetView tabSelected="1" topLeftCell="C36" zoomScale="60" zoomScaleNormal="60" workbookViewId="0">
      <selection activeCell="AB40" sqref="AB40"/>
    </sheetView>
  </sheetViews>
  <sheetFormatPr defaultColWidth="10.21875" defaultRowHeight="14.4" x14ac:dyDescent="0.3"/>
  <cols>
    <col min="1" max="1" width="15.77734375" bestFit="1" customWidth="1"/>
    <col min="2" max="2" width="20" bestFit="1" customWidth="1"/>
    <col min="3" max="3" width="24.44140625" customWidth="1"/>
    <col min="4" max="4" width="18.77734375" style="1" bestFit="1" customWidth="1"/>
    <col min="5" max="5" width="22.33203125" hidden="1" customWidth="1"/>
    <col min="6" max="6" width="40.6640625" hidden="1" customWidth="1"/>
    <col min="7" max="7" width="24.21875" hidden="1" customWidth="1"/>
    <col min="8" max="8" width="16.109375" hidden="1" customWidth="1"/>
    <col min="9" max="9" width="18.21875" hidden="1" customWidth="1"/>
    <col min="10" max="10" width="16.44140625" hidden="1" customWidth="1"/>
    <col min="11" max="12" width="14.77734375" hidden="1" customWidth="1"/>
    <col min="13" max="13" width="29.109375" hidden="1" customWidth="1"/>
    <col min="14" max="14" width="21" hidden="1" customWidth="1"/>
    <col min="15" max="15" width="9.77734375" hidden="1" customWidth="1"/>
    <col min="16" max="16" width="27.33203125" hidden="1" customWidth="1"/>
    <col min="17" max="17" width="31.88671875" hidden="1" customWidth="1"/>
    <col min="18" max="18" width="15.77734375" hidden="1" customWidth="1"/>
    <col min="19" max="19" width="0" hidden="1" customWidth="1"/>
    <col min="20" max="20" width="17.44140625" hidden="1" customWidth="1"/>
    <col min="21" max="21" width="22.21875" hidden="1" customWidth="1"/>
    <col min="22" max="22" width="21.88671875" hidden="1" customWidth="1"/>
    <col min="23" max="23" width="22.88671875" hidden="1" customWidth="1"/>
    <col min="24" max="24" width="16.109375" hidden="1" customWidth="1"/>
    <col min="25" max="25" width="34.88671875" hidden="1" customWidth="1"/>
    <col min="26" max="26" width="38.5546875" hidden="1" customWidth="1"/>
    <col min="27" max="27" width="141.88671875" hidden="1" customWidth="1"/>
    <col min="28" max="28" width="65.6640625" customWidth="1"/>
    <col min="29" max="29" width="24.21875" customWidth="1"/>
    <col min="31" max="31" width="47.44140625" hidden="1" customWidth="1"/>
    <col min="32" max="32" width="97.6640625" bestFit="1" customWidth="1"/>
    <col min="33" max="33" width="59.77734375" bestFit="1" customWidth="1"/>
    <col min="34" max="34" width="180.77734375" bestFit="1" customWidth="1"/>
    <col min="35" max="35" width="146.77734375" bestFit="1" customWidth="1"/>
    <col min="36" max="36" width="137.21875" bestFit="1" customWidth="1"/>
  </cols>
  <sheetData>
    <row r="1" spans="1:36" x14ac:dyDescent="0.3">
      <c r="A1" s="2" t="s">
        <v>0</v>
      </c>
      <c r="B1" s="2" t="s">
        <v>1</v>
      </c>
      <c r="C1" s="2" t="s">
        <v>25</v>
      </c>
      <c r="D1" s="2" t="s">
        <v>4</v>
      </c>
      <c r="E1" s="2" t="s">
        <v>5</v>
      </c>
      <c r="F1" s="2" t="s">
        <v>107</v>
      </c>
      <c r="G1" s="2" t="s">
        <v>6</v>
      </c>
      <c r="H1" s="3" t="s">
        <v>44</v>
      </c>
      <c r="I1" s="2" t="s">
        <v>2</v>
      </c>
      <c r="J1" s="2" t="s">
        <v>3</v>
      </c>
      <c r="K1" s="3" t="s">
        <v>28</v>
      </c>
      <c r="L1" s="3" t="s">
        <v>29</v>
      </c>
      <c r="M1" s="3" t="s">
        <v>48</v>
      </c>
      <c r="N1" s="3" t="s">
        <v>49</v>
      </c>
      <c r="O1" s="3" t="s">
        <v>30</v>
      </c>
      <c r="P1" s="3" t="s">
        <v>37</v>
      </c>
      <c r="Q1" s="3" t="s">
        <v>31</v>
      </c>
      <c r="R1" s="3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39</v>
      </c>
      <c r="X1" t="s">
        <v>38</v>
      </c>
      <c r="Y1" s="3" t="s">
        <v>26</v>
      </c>
      <c r="Z1" s="3" t="s">
        <v>27</v>
      </c>
      <c r="AA1" s="3" t="s">
        <v>46</v>
      </c>
      <c r="AB1" s="3" t="s">
        <v>23</v>
      </c>
      <c r="AC1" s="3" t="s">
        <v>7</v>
      </c>
      <c r="AD1" s="3" t="s">
        <v>22</v>
      </c>
      <c r="AE1" s="3" t="s">
        <v>8</v>
      </c>
      <c r="AF1" s="3" t="s">
        <v>41</v>
      </c>
      <c r="AG1" s="3" t="s">
        <v>98</v>
      </c>
      <c r="AH1" s="3" t="s">
        <v>40</v>
      </c>
      <c r="AI1" s="3" t="s">
        <v>42</v>
      </c>
      <c r="AJ1" s="3" t="s">
        <v>43</v>
      </c>
    </row>
    <row r="2" spans="1:36" ht="106.8" customHeight="1" x14ac:dyDescent="0.3">
      <c r="A2" s="4" t="s">
        <v>24</v>
      </c>
      <c r="B2" s="4" t="str">
        <f>IF(Table17357[[#This Row],[Fault_Type_sig]]=7,"Balanced Faults",IF(Table17357[[#This Row],[Fault_Type_sig]]=4,"Unbalanced Faults","Plant Trip"))</f>
        <v>Balanced Faults</v>
      </c>
      <c r="C2" s="4" t="s">
        <v>106</v>
      </c>
      <c r="D2" s="4">
        <v>1</v>
      </c>
      <c r="E2" s="4"/>
      <c r="F2" s="4" t="s">
        <v>106</v>
      </c>
      <c r="G2" s="5" t="str">
        <f t="shared" ref="G2:G41" si="0">C2&amp;"_"&amp;TEXT(D2,"000")</f>
        <v>SummerLow_Case2_001</v>
      </c>
      <c r="H2" s="5">
        <v>100</v>
      </c>
      <c r="I2" s="4" t="b">
        <v>1</v>
      </c>
      <c r="J2" s="4" t="b">
        <v>1</v>
      </c>
      <c r="K2" s="4">
        <v>0.43</v>
      </c>
      <c r="L2" s="4">
        <v>0.12</v>
      </c>
      <c r="M2" s="4">
        <v>0.43</v>
      </c>
      <c r="N2" s="4" t="b">
        <v>1</v>
      </c>
      <c r="O2" s="4">
        <v>3</v>
      </c>
      <c r="P2" s="4">
        <v>7</v>
      </c>
      <c r="Q2" s="4">
        <v>5</v>
      </c>
      <c r="R2" s="4">
        <f>IF(Table17357[[#This Row],[CB FAIL SCENARIO]],MAX(Table17357[[#This Row],[NEAR]:[CB FAIL]]),MAX(Table17357[[#This Row],[NEAR]:[FAR]]))</f>
        <v>0.43</v>
      </c>
      <c r="S2" s="4"/>
      <c r="T2" s="4">
        <v>0</v>
      </c>
      <c r="U2" s="4">
        <v>0</v>
      </c>
      <c r="V2" s="4">
        <v>0</v>
      </c>
      <c r="W2" s="4">
        <v>10</v>
      </c>
      <c r="X2" s="4">
        <v>0.99</v>
      </c>
      <c r="Y2" s="4" t="b">
        <v>1</v>
      </c>
      <c r="Z2" s="4" t="b">
        <v>1</v>
      </c>
      <c r="AA2" s="4" t="str">
        <f>"0, AT "&amp;(Table17357[[#This Row],[Fault_Time_sig]])&amp;"s ↑ 1, at "&amp;(Table17357[[#This Row],[Fault_Time_sig]]+Table17357[[#This Row],[Fault_Duration_sig]])&amp;"s ↓ 0"</f>
        <v>0, AT 5s ↑ 1, at 5.43s ↓ 0</v>
      </c>
      <c r="AB2" s="12" t="str">
        <f>"TRIP BRANCH 'SHTS220_GESF220|NEAR' AT "&amp;Table17357[[#This Row],[NEAR]]+Table17357[[#This Row],[Fault_Time_sig]]&amp;"s;
TRIP BRANCH 'SHTS220_GESF220|FAR' AT "&amp;Table17357[[#This Row],[FAR]]+Table17357[[#This Row],[Fault_Time_sig]]&amp;"s;
APPLY FAULT TO BRANCH 'SHTS220_GESF220'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'SHTS220_GESF220|NEAR' AT 5.43s;
TRIP BRANCH 'SHTS220_GESF220|FAR' AT 5.12s;
APPLY FAULT TO BRANCH 'SHTS220_GESF220' AT 5s WITH TYPE=7, RF_OFFSET=0, XF_OFFSET=0, DURATION=0.43s, DISTANCE=0.99</v>
      </c>
      <c r="AC2" s="5">
        <v>20</v>
      </c>
      <c r="AD2" s="6"/>
      <c r="AE2" s="6"/>
      <c r="AF2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5.43s;
TRIP BRANCH 'BAL220_WAR220|FAR' AT 5.12s;
APPLY FAULT TO BRANCH 'BAL220_WAR220' AT 5s WITH TYPE=7, RF_OFFSET=0, XF_OFFSET=0, DURATION=0.43s, DISTANCE=0.99</v>
      </c>
      <c r="AG2" s="6"/>
    </row>
    <row r="3" spans="1:36" ht="216" customHeight="1" x14ac:dyDescent="0.3">
      <c r="A3" s="9" t="s">
        <v>24</v>
      </c>
      <c r="B3" s="4" t="str">
        <f>IF(Table17357[[#This Row],[Fault_Type_sig]]=7,"Balanced Faults",IF(Table17357[[#This Row],[Fault_Type_sig]]=4,"Unbalanced Faults","Plant Trip"))</f>
        <v>Balanced Faults</v>
      </c>
      <c r="C3" s="4" t="s">
        <v>106</v>
      </c>
      <c r="D3" s="9">
        <v>2</v>
      </c>
      <c r="E3" s="9"/>
      <c r="F3" s="4" t="s">
        <v>106</v>
      </c>
      <c r="G3" s="5" t="str">
        <f t="shared" si="0"/>
        <v>SummerLow_Case2_002</v>
      </c>
      <c r="H3" s="5">
        <v>100</v>
      </c>
      <c r="I3" s="9" t="b">
        <v>1</v>
      </c>
      <c r="J3" s="9" t="b">
        <v>1</v>
      </c>
      <c r="K3" s="9">
        <v>0.12</v>
      </c>
      <c r="L3" s="9">
        <v>0.22</v>
      </c>
      <c r="M3" s="9">
        <v>0.43</v>
      </c>
      <c r="N3" s="9" t="b">
        <v>0</v>
      </c>
      <c r="O3" s="9">
        <v>3</v>
      </c>
      <c r="P3" s="9">
        <v>7</v>
      </c>
      <c r="Q3" s="9">
        <v>5</v>
      </c>
      <c r="R3" s="4">
        <f>IF(Table17357[[#This Row],[CB FAIL SCENARIO]],MAX(Table17357[[#This Row],[NEAR]:[CB FAIL]]),MAX(Table17357[[#This Row],[NEAR]:[FAR]]))</f>
        <v>0.22</v>
      </c>
      <c r="S3" s="9"/>
      <c r="T3" s="9">
        <v>0</v>
      </c>
      <c r="U3" s="9">
        <v>0</v>
      </c>
      <c r="V3" s="9">
        <v>0</v>
      </c>
      <c r="W3" s="4">
        <v>10</v>
      </c>
      <c r="X3" s="4">
        <v>0.01</v>
      </c>
      <c r="Y3" s="9" t="b">
        <v>1</v>
      </c>
      <c r="Z3" s="9" t="b">
        <v>1</v>
      </c>
      <c r="AA3" s="17" t="str">
        <f>"0, AT "&amp;(Table17357[[#This Row],[Fault_Time_sig]])&amp;"s ↑ 1, at "&amp;(Table17357[[#This Row],[Fault_Time_sig]]+Table17357[[#This Row],[Fault_Duration_sig]])&amp;"s ↓ 0"</f>
        <v>0, AT 5s ↑ 1, at 5.22s ↓ 0</v>
      </c>
      <c r="AB3" s="14" t="str">
        <f>"TRIP BRANCH 'SHTS220_GESF220|NEAR' AT "&amp;Table17357[[#This Row],[NEAR]]+Table17357[[#This Row],[Fault_Time_sig]]&amp;"s;
TRIP BRANCH 'SHTS220_GESF220|FAR' AT "&amp;Table17357[[#This Row],[FAR]]+Table17357[[#This Row],[Fault_Time_sig]]&amp;"s;
RESTORE BRANCH 'SHTS220_GESF220|NEAR' AT "&amp;Table17357[[#This Row],[NEAR]]+Table17357[[#This Row],[RECLOSE]]+Table17357[[#This Row],[Fault_Time_sig]]&amp;"s;
RESTORE BRANCH 'SHTS220_GESF220|FAR' AT "&amp;Table17357[[#This Row],[NEAR]]+Table17357[[#This Row],[RECLOSE]]+Table17357[[#This Row],[Fault_Time_sig]]&amp;"s;
APPLY FAULT TO BRANCH 'SHTS220_GESF220'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'SHTS220_GESF220|NEAR' AT 5.12s;
TRIP BRANCH 'SHTS220_GESF220|FAR' AT 5.22s;
RESTORE BRANCH 'SHTS220_GESF220|NEAR' AT 8.12s;
RESTORE BRANCH 'SHTS220_GESF220|FAR' AT 8.12s;
APPLY FAULT TO BRANCH 'SHTS220_GESF220' AT 5s WITH TYPE=7, RF_OFFSET=0, XF_OFFSET=0, DURATION=0.22s, DISTANCE=0.01</v>
      </c>
      <c r="AC3" s="5">
        <v>20</v>
      </c>
      <c r="AD3" s="11"/>
      <c r="AE3" s="11"/>
      <c r="AF3" s="1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5.12s;
TRIP BRANCH 'BAL220_WAR220|FAR' AT 5.22s;
APPLY FAULT TO BRANCH 'BAL220_WAR220' AT 5s WITH TYPE=7, RF_OFFSET=0, XF_OFFSET=0, DURATION=0.22s, DISTANCE=0.01</v>
      </c>
      <c r="AG3" s="16"/>
    </row>
    <row r="4" spans="1:36" ht="208.2" customHeight="1" x14ac:dyDescent="0.3">
      <c r="A4" s="9" t="s">
        <v>24</v>
      </c>
      <c r="B4" s="4" t="str">
        <f>IF(Table17357[[#This Row],[Fault_Type_sig]]=7,"Balanced Faults",IF(Table17357[[#This Row],[Fault_Type_sig]]=4,"Unbalanced Faults","Plant Trip"))</f>
        <v>Balanced Faults</v>
      </c>
      <c r="C4" s="4" t="s">
        <v>106</v>
      </c>
      <c r="D4" s="9">
        <v>3</v>
      </c>
      <c r="E4" s="9"/>
      <c r="F4" s="4" t="s">
        <v>106</v>
      </c>
      <c r="G4" s="5" t="str">
        <f t="shared" si="0"/>
        <v>SummerLow_Case2_003</v>
      </c>
      <c r="H4" s="5">
        <v>100</v>
      </c>
      <c r="I4" s="9" t="b">
        <v>1</v>
      </c>
      <c r="J4" s="9" t="b">
        <v>1</v>
      </c>
      <c r="K4" s="9">
        <v>0.43</v>
      </c>
      <c r="L4" s="9">
        <v>0.12</v>
      </c>
      <c r="M4" s="9">
        <v>0.43</v>
      </c>
      <c r="N4" s="4" t="b">
        <v>1</v>
      </c>
      <c r="O4" s="9">
        <v>3</v>
      </c>
      <c r="P4" s="9">
        <v>7</v>
      </c>
      <c r="Q4" s="9">
        <v>5</v>
      </c>
      <c r="R4" s="4">
        <f>IF(Table17357[[#This Row],[CB FAIL SCENARIO]],MAX(Table17357[[#This Row],[NEAR]:[CB FAIL]]),MAX(Table17357[[#This Row],[NEAR]:[FAR]]))</f>
        <v>0.43</v>
      </c>
      <c r="S4" s="9"/>
      <c r="T4" s="9">
        <v>0</v>
      </c>
      <c r="U4" s="9">
        <v>0</v>
      </c>
      <c r="V4" s="9">
        <v>0</v>
      </c>
      <c r="W4" s="4">
        <v>10</v>
      </c>
      <c r="X4" s="4">
        <v>0.99</v>
      </c>
      <c r="Y4" s="9" t="b">
        <v>1</v>
      </c>
      <c r="Z4" s="9" t="b">
        <v>1</v>
      </c>
      <c r="AA4" s="17" t="str">
        <f>"0, AT "&amp;(Table17357[[#This Row],[Fault_Time_sig]])&amp;"s ↑ 1, at "&amp;(Table17357[[#This Row],[Fault_Time_sig]]+Table17357[[#This Row],[Fault_Duration_sig]])&amp;"s ↓ 0"</f>
        <v>0, AT 5s ↑ 1, at 5.43s ↓ 0</v>
      </c>
      <c r="AB4" s="14" t="str">
        <f>"TRIP BRANCH 'DED220_GESF220|NEAR' AT "&amp;Table17357[[#This Row],[NEAR]]+Table17357[[#This Row],[Fault_Time_sig]]&amp;"s;
TRIP BRANCH 'DED220_GESF220|FAR' AT "&amp;Table17357[[#This Row],[FAR]]+Table17357[[#This Row],[Fault_Time_sig]]&amp;"s;
APPLY FAULT TO BRANCH 'DED220_GESF220'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'DED220_GESF220|NEAR' AT 5.43s;
TRIP BRANCH 'DED220_GESF220|FAR' AT 5.12s;
APPLY FAULT TO BRANCH 'DED220_GESF220' AT 5s WITH TYPE=7, RF_OFFSET=0, XF_OFFSET=0, DURATION=0.43s, DISTANCE=0.99</v>
      </c>
      <c r="AC4" s="5">
        <v>20</v>
      </c>
      <c r="AD4" s="11"/>
      <c r="AE4" s="11"/>
      <c r="AF4" s="1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5.43s;
TRIP BRANCH 'BAL220_WAR220|FAR' AT 5.12s;
APPLY FAULT TO BRANCH 'BAL220_WAR220' AT 5s WITH TYPE=7, RF_OFFSET=0, XF_OFFSET=0, DURATION=0.43s, DISTANCE=0.99</v>
      </c>
      <c r="AG4" s="16"/>
    </row>
    <row r="5" spans="1:36" ht="195" customHeight="1" x14ac:dyDescent="0.3">
      <c r="A5" s="9" t="s">
        <v>24</v>
      </c>
      <c r="B5" s="4" t="str">
        <f>IF(Table17357[[#This Row],[Fault_Type_sig]]=7,"Balanced Faults",IF(Table17357[[#This Row],[Fault_Type_sig]]=4,"Unbalanced Faults","Plant Trip"))</f>
        <v>Balanced Faults</v>
      </c>
      <c r="C5" s="4" t="s">
        <v>106</v>
      </c>
      <c r="D5" s="9">
        <v>4</v>
      </c>
      <c r="E5" s="9"/>
      <c r="F5" s="4" t="s">
        <v>106</v>
      </c>
      <c r="G5" s="5" t="str">
        <f t="shared" si="0"/>
        <v>SummerLow_Case2_004</v>
      </c>
      <c r="H5" s="5">
        <v>100</v>
      </c>
      <c r="I5" s="9" t="b">
        <v>1</v>
      </c>
      <c r="J5" s="9" t="b">
        <v>1</v>
      </c>
      <c r="K5" s="9">
        <v>0.12</v>
      </c>
      <c r="L5" s="9">
        <v>0.22</v>
      </c>
      <c r="M5" s="9">
        <v>0.43</v>
      </c>
      <c r="N5" s="9" t="b">
        <v>0</v>
      </c>
      <c r="O5" s="9">
        <v>3</v>
      </c>
      <c r="P5" s="9">
        <v>7</v>
      </c>
      <c r="Q5" s="9">
        <v>5</v>
      </c>
      <c r="R5" s="4">
        <f>IF(Table17357[[#This Row],[CB FAIL SCENARIO]],MAX(Table17357[[#This Row],[NEAR]:[CB FAIL]]),MAX(Table17357[[#This Row],[NEAR]:[FAR]]))</f>
        <v>0.22</v>
      </c>
      <c r="S5" s="9"/>
      <c r="T5" s="9">
        <v>0</v>
      </c>
      <c r="U5" s="9">
        <v>0</v>
      </c>
      <c r="V5" s="9">
        <v>0</v>
      </c>
      <c r="W5" s="4">
        <v>10</v>
      </c>
      <c r="X5" s="4">
        <v>0.01</v>
      </c>
      <c r="Y5" s="9" t="b">
        <v>1</v>
      </c>
      <c r="Z5" s="9" t="b">
        <v>1</v>
      </c>
      <c r="AA5" s="17" t="str">
        <f>"0, AT "&amp;(Table17357[[#This Row],[Fault_Time_sig]])&amp;"s ↑ 1, at "&amp;(Table17357[[#This Row],[Fault_Time_sig]]+Table17357[[#This Row],[Fault_Duration_sig]])&amp;"s ↓ 0"</f>
        <v>0, AT 5s ↑ 1, at 5.22s ↓ 0</v>
      </c>
      <c r="AB5" s="14" t="str">
        <f>"TRIP BRANCH 'DED220_GESF220|NEAR' AT "&amp;Table17357[[#This Row],[NEAR]]+Table17357[[#This Row],[Fault_Time_sig]]&amp;"s;
TRIP BRANCH 'DED220_GESF220|FAR' AT "&amp;Table17357[[#This Row],[FAR]]+Table17357[[#This Row],[Fault_Time_sig]]&amp;"s;
RESTORE BRANCH 'DED220_GESF220|NEAR' AT "&amp;Table17357[[#This Row],[NEAR]]+Table17357[[#This Row],[RECLOSE]]+Table17357[[#This Row],[Fault_Time_sig]]&amp;"s;
RESTORE BRANCH 'DED220_GESF220|FAR' AT "&amp;Table17357[[#This Row],[NEAR]]+Table17357[[#This Row],[RECLOSE]]+Table17357[[#This Row],[Fault_Time_sig]]&amp;"s;
APPLY FAULT TO BRANCH 'DED220_GESF220'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'DED220_GESF220|NEAR' AT 5.12s;
TRIP BRANCH 'DED220_GESF220|FAR' AT 5.22s;
RESTORE BRANCH 'DED220_GESF220|NEAR' AT 8.12s;
RESTORE BRANCH 'DED220_GESF220|FAR' AT 8.12s;
APPLY FAULT TO BRANCH 'DED220_GESF220' AT 5s WITH TYPE=7, RF_OFFSET=0, XF_OFFSET=0, DURATION=0.22s, DISTANCE=0.01</v>
      </c>
      <c r="AC5" s="5">
        <v>20</v>
      </c>
      <c r="AD5" s="11"/>
      <c r="AE5" s="11"/>
      <c r="AF5" s="1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5.12s;
TRIP BRANCH 'BAL220_WAR220|FAR' AT 5.22s;
APPLY FAULT TO BRANCH 'BAL220_WAR220' AT 5s WITH TYPE=7, RF_OFFSET=0, XF_OFFSET=0, DURATION=0.22s, DISTANCE=0.01</v>
      </c>
      <c r="AG5" s="16"/>
    </row>
    <row r="6" spans="1:36" ht="43.2" customHeight="1" x14ac:dyDescent="0.3">
      <c r="A6" s="9" t="s">
        <v>24</v>
      </c>
      <c r="B6" s="4" t="str">
        <f>IF(Table17357[[#This Row],[Fault_Type_sig]]=7,"Balanced Faults",IF(Table17357[[#This Row],[Fault_Type_sig]]=4,"Unbalanced Faults","Plant Trip"))</f>
        <v>Balanced Faults</v>
      </c>
      <c r="C6" s="4" t="s">
        <v>106</v>
      </c>
      <c r="D6" s="9">
        <v>5</v>
      </c>
      <c r="E6" s="9"/>
      <c r="F6" s="4" t="s">
        <v>106</v>
      </c>
      <c r="G6" s="5" t="str">
        <f t="shared" si="0"/>
        <v>SummerLow_Case2_005</v>
      </c>
      <c r="H6" s="5">
        <v>100</v>
      </c>
      <c r="I6" s="9" t="b">
        <v>1</v>
      </c>
      <c r="J6" s="9" t="b">
        <v>1</v>
      </c>
      <c r="K6" s="9">
        <v>0.08</v>
      </c>
      <c r="L6" s="9">
        <v>0.1</v>
      </c>
      <c r="M6" s="9">
        <v>0.17499999999999999</v>
      </c>
      <c r="N6" s="4" t="b">
        <v>0</v>
      </c>
      <c r="O6" s="9">
        <v>3</v>
      </c>
      <c r="P6" s="9">
        <v>7</v>
      </c>
      <c r="Q6" s="9">
        <v>5</v>
      </c>
      <c r="R6" s="4">
        <f>IF(Table17357[[#This Row],[CB FAIL SCENARIO]],MAX(Table17357[[#This Row],[NEAR]:[CB FAIL]]),MAX(Table17357[[#This Row],[NEAR]:[FAR]]))</f>
        <v>0.1</v>
      </c>
      <c r="S6" s="9"/>
      <c r="T6" s="9">
        <v>0</v>
      </c>
      <c r="U6" s="9">
        <v>0</v>
      </c>
      <c r="V6" s="9">
        <v>0</v>
      </c>
      <c r="W6" s="4">
        <v>10</v>
      </c>
      <c r="X6" s="4">
        <v>0.99</v>
      </c>
      <c r="Y6" s="9" t="b">
        <v>1</v>
      </c>
      <c r="Z6" s="9" t="b">
        <v>1</v>
      </c>
      <c r="AA6" s="17" t="str">
        <f>"0, AT "&amp;(Table17357[[#This Row],[Fault_Time_sig]])&amp;"s ↑ 1, at "&amp;(Table17357[[#This Row],[Fault_Time_sig]]+Table17357[[#This Row],[Fault_Duration_sig]])&amp;"s ↓ 0"</f>
        <v>0, AT 5s ↑ 1, at 5.1s ↓ 0</v>
      </c>
      <c r="AB6" s="14" t="str">
        <f>"TRIP BRANCH 'HZ500_SM500|NEAR' AT "&amp;Table17357[[#This Row],[NEAR]]+Table17357[[#This Row],[Fault_Time_sig]]&amp;"s;
TRIP BRANCH 'HZ500_SM500|FAR' AT "&amp;Table17357[[#This Row],[FAR]]+Table17357[[#This Row],[Fault_Time_sig]]&amp;"s;
RESTORE BRANCH 'HZ500_SM500|NEAR' AT "&amp;Table17357[[#This Row],[NEAR]]+Table17357[[#This Row],[RECLOSE]]+Table17357[[#This Row],[Fault_Time_sig]]&amp;"s;
RESTORE BRANCH 'HZ500_SM500|FAR' AT "&amp;Table17357[[#This Row],[NEAR]]+Table17357[[#This Row],[RECLOSE]]+Table17357[[#This Row],[Fault_Time_sig]]&amp;"s;
APPLY FAULT TO BRANCH 'HZ500_SM500'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'HZ500_SM500|NEAR' AT 5.08s;
TRIP BRANCH 'HZ500_SM500|FAR' AT 5.1s;
RESTORE BRANCH 'HZ500_SM500|NEAR' AT 8.08s;
RESTORE BRANCH 'HZ500_SM500|FAR' AT 8.08s;
APPLY FAULT TO BRANCH 'HZ500_SM500' AT 5s WITH TYPE=7, RF_OFFSET=0, XF_OFFSET=0, DURATION=0.1s, DISTANCE=0.99</v>
      </c>
      <c r="AC6" s="5">
        <v>20</v>
      </c>
      <c r="AD6" s="11"/>
      <c r="AE6" s="11"/>
      <c r="AF6" s="1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5.08s;
TRIP BRANCH 'BAL220_WAR220|FAR' AT 5.1s;
APPLY FAULT TO BRANCH 'BAL220_WAR220' AT 5s WITH TYPE=7, RF_OFFSET=0, XF_OFFSET=0, DURATION=0.1s, DISTANCE=0.99</v>
      </c>
      <c r="AG6" s="16"/>
    </row>
    <row r="7" spans="1:36" ht="91.8" customHeight="1" x14ac:dyDescent="0.3">
      <c r="A7" s="9" t="s">
        <v>24</v>
      </c>
      <c r="B7" s="4" t="str">
        <f>IF(Table17357[[#This Row],[Fault_Type_sig]]=7,"Balanced Faults",IF(Table17357[[#This Row],[Fault_Type_sig]]=4,"Unbalanced Faults","Plant Trip"))</f>
        <v>Balanced Faults</v>
      </c>
      <c r="C7" s="4" t="s">
        <v>106</v>
      </c>
      <c r="D7" s="9">
        <v>6</v>
      </c>
      <c r="E7" s="9"/>
      <c r="F7" s="4" t="s">
        <v>106</v>
      </c>
      <c r="G7" s="5" t="str">
        <f t="shared" si="0"/>
        <v>SummerLow_Case2_006</v>
      </c>
      <c r="H7" s="5">
        <v>100</v>
      </c>
      <c r="I7" s="9" t="b">
        <v>1</v>
      </c>
      <c r="J7" s="9" t="b">
        <v>1</v>
      </c>
      <c r="K7" s="9">
        <v>0.17499999999999999</v>
      </c>
      <c r="L7" s="9">
        <v>0.17499999999999999</v>
      </c>
      <c r="M7" s="9">
        <v>0.17499999999999999</v>
      </c>
      <c r="N7" s="9" t="b">
        <v>1</v>
      </c>
      <c r="O7" s="9">
        <v>3</v>
      </c>
      <c r="P7" s="9">
        <v>7</v>
      </c>
      <c r="Q7" s="9">
        <v>5</v>
      </c>
      <c r="R7" s="4">
        <f>IF(Table17357[[#This Row],[CB FAIL SCENARIO]],MAX(Table17357[[#This Row],[NEAR]:[CB FAIL]]),MAX(Table17357[[#This Row],[NEAR]:[FAR]]))</f>
        <v>0.17499999999999999</v>
      </c>
      <c r="S7" s="9"/>
      <c r="T7" s="9">
        <v>0</v>
      </c>
      <c r="U7" s="9">
        <v>0</v>
      </c>
      <c r="V7" s="9">
        <v>0</v>
      </c>
      <c r="W7" s="4">
        <v>10</v>
      </c>
      <c r="X7" s="4">
        <v>0.99</v>
      </c>
      <c r="Y7" s="9" t="b">
        <v>1</v>
      </c>
      <c r="Z7" s="9" t="b">
        <v>1</v>
      </c>
      <c r="AA7" s="17" t="str">
        <f>"0, AT "&amp;(Table17357[[#This Row],[Fault_Time_sig]])&amp;"s ↑ 1, at "&amp;(Table17357[[#This Row],[Fault_Time_sig]]+Table17357[[#This Row],[Fault_Duration_sig]])&amp;"s ↓ 0"</f>
        <v>0, AT 5s ↑ 1, at 5.175s ↓ 0</v>
      </c>
      <c r="AB7" s="14" t="str">
        <f>"TRIP BRANCH 'RO500_SM500|NEAR' AT "&amp;Table17357[[#This Row],[NEAR]]+Table17357[[#This Row],[Fault_Time_sig]]&amp;"s;
TRIP BRANCH 'RO500_SM500|FAR' AT "&amp;Table17357[[#This Row],[FAR]]+Table17357[[#This Row],[Fault_Time_sig]]&amp;"s;
APPLY FAULT TO BRANCH 'RO500_SM500'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'RO500_SM500|NEAR' AT 5.175s;
TRIP BRANCH 'RO500_SM500|FAR' AT 5.175s;
APPLY FAULT TO BRANCH 'RO500_SM500' AT 5s WITH TYPE=7, RF_OFFSET=0, XF_OFFSET=0, DURATION=0.175s, DISTANCE=0.99</v>
      </c>
      <c r="AC7" s="5">
        <v>20</v>
      </c>
      <c r="AD7" s="11"/>
      <c r="AE7" s="11"/>
      <c r="AF7" s="1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5.175s;
TRIP BRANCH 'BAL220_WAR220|FAR' AT 5.175s;
APPLY FAULT TO BRANCH 'BAL220_WAR220' AT 5s WITH TYPE=7, RF_OFFSET=0, XF_OFFSET=0, DURATION=0.175s, DISTANCE=0.99</v>
      </c>
      <c r="AG7" s="16"/>
    </row>
    <row r="8" spans="1:36" ht="76.8" customHeight="1" x14ac:dyDescent="0.3">
      <c r="A8" s="9" t="s">
        <v>24</v>
      </c>
      <c r="B8" s="4" t="str">
        <f>IF(Table17357[[#This Row],[Fault_Type_sig]]=7,"Balanced Faults",IF(Table17357[[#This Row],[Fault_Type_sig]]=4,"Unbalanced Faults","Plant Trip"))</f>
        <v>Balanced Faults</v>
      </c>
      <c r="C8" s="4" t="s">
        <v>106</v>
      </c>
      <c r="D8" s="9">
        <v>7</v>
      </c>
      <c r="E8" s="9"/>
      <c r="F8" s="4" t="s">
        <v>106</v>
      </c>
      <c r="G8" s="5" t="str">
        <f t="shared" si="0"/>
        <v>SummerLow_Case2_007</v>
      </c>
      <c r="H8" s="5">
        <v>100</v>
      </c>
      <c r="I8" s="9" t="b">
        <v>1</v>
      </c>
      <c r="J8" s="9" t="b">
        <v>1</v>
      </c>
      <c r="K8" s="9">
        <v>0.8</v>
      </c>
      <c r="L8" s="9">
        <v>0.1</v>
      </c>
      <c r="M8" s="9">
        <v>0.17499999999999999</v>
      </c>
      <c r="N8" s="9" t="b">
        <v>0</v>
      </c>
      <c r="O8" s="9">
        <v>3</v>
      </c>
      <c r="P8" s="9">
        <v>7</v>
      </c>
      <c r="Q8" s="9">
        <v>5</v>
      </c>
      <c r="R8" s="4">
        <f>IF(Table17357[[#This Row],[CB FAIL SCENARIO]],MAX(Table17357[[#This Row],[NEAR]:[CB FAIL]]),MAX(Table17357[[#This Row],[NEAR]:[FAR]]))</f>
        <v>0.8</v>
      </c>
      <c r="S8" s="9"/>
      <c r="T8" s="9">
        <v>0</v>
      </c>
      <c r="U8" s="9">
        <v>0</v>
      </c>
      <c r="V8" s="9">
        <v>0</v>
      </c>
      <c r="W8" s="4">
        <v>10</v>
      </c>
      <c r="X8" s="4">
        <v>0.99</v>
      </c>
      <c r="Y8" s="9" t="b">
        <v>1</v>
      </c>
      <c r="Z8" s="9" t="b">
        <v>1</v>
      </c>
      <c r="AA8" s="17" t="str">
        <f>"0, AT "&amp;(Table17357[[#This Row],[Fault_Time_sig]])&amp;"s ↑ 1, at "&amp;(Table17357[[#This Row],[Fault_Time_sig]]+Table17357[[#This Row],[Fault_Duration_sig]])&amp;"s ↓ 0"</f>
        <v>0, AT 5s ↑ 1, at 5.8s ↓ 0</v>
      </c>
      <c r="AB8" s="14" t="str">
        <f>"TRIP BRANCH 'KE500_SM500|NEAR' AT "&amp;Table17357[[#This Row],[NEAR]]+Table17357[[#This Row],[Fault_Time_sig]]&amp;"s;
TRIP BRANCH 'KE500_SM500|FAR' AT "&amp;Table17357[[#This Row],[FAR]]+Table17357[[#This Row],[Fault_Time_sig]]&amp;"s;
RESTORE BRANCH 'KE500_SM500|NEAR' AT "&amp;Table17357[[#This Row],[NEAR]]+Table17357[[#This Row],[RECLOSE]]+Table17357[[#This Row],[Fault_Time_sig]]&amp;"s;
RESTORE BRANCH 'KE500_SM500|FAR' AT "&amp;Table17357[[#This Row],[NEAR]]+Table17357[[#This Row],[RECLOSE]]+Table17357[[#This Row],[Fault_Time_sig]]&amp;"s;
APPLY FAULT TO BRANCH 'KE500_SM500'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'KE500_SM500|NEAR' AT 5.8s;
TRIP BRANCH 'KE500_SM500|FAR' AT 5.1s;
RESTORE BRANCH 'KE500_SM500|NEAR' AT 8.8s;
RESTORE BRANCH 'KE500_SM500|FAR' AT 8.8s;
APPLY FAULT TO BRANCH 'KE500_SM500' AT 5s WITH TYPE=7, RF_OFFSET=0, XF_OFFSET=0, DURATION=0.8s, DISTANCE=0.99</v>
      </c>
      <c r="AC8" s="5">
        <v>20</v>
      </c>
      <c r="AD8" s="11"/>
      <c r="AE8" s="11"/>
      <c r="AF8" s="1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5.8s;
TRIP BRANCH 'BAL220_WAR220|FAR' AT 5.1s;
APPLY FAULT TO BRANCH 'BAL220_WAR220' AT 5s WITH TYPE=7, RF_OFFSET=0, XF_OFFSET=0, DURATION=0.8s, DISTANCE=0.99</v>
      </c>
      <c r="AG8" s="16"/>
    </row>
    <row r="9" spans="1:36" ht="85.8" customHeight="1" x14ac:dyDescent="0.3">
      <c r="A9" s="9" t="s">
        <v>24</v>
      </c>
      <c r="B9" s="4" t="str">
        <f>IF(Table17357[[#This Row],[Fault_Type_sig]]=7,"Balanced Faults",IF(Table17357[[#This Row],[Fault_Type_sig]]=4,"Unbalanced Faults","Plant Trip"))</f>
        <v>Balanced Faults</v>
      </c>
      <c r="C9" s="4" t="s">
        <v>106</v>
      </c>
      <c r="D9" s="9">
        <v>8</v>
      </c>
      <c r="E9" s="9"/>
      <c r="F9" s="4" t="s">
        <v>106</v>
      </c>
      <c r="G9" s="5" t="str">
        <f t="shared" si="0"/>
        <v>SummerLow_Case2_008</v>
      </c>
      <c r="H9" s="5">
        <v>100</v>
      </c>
      <c r="I9" s="9" t="b">
        <v>1</v>
      </c>
      <c r="J9" s="9" t="b">
        <v>1</v>
      </c>
      <c r="K9" s="9">
        <v>0.1</v>
      </c>
      <c r="L9" s="9">
        <v>0.12</v>
      </c>
      <c r="M9" s="9">
        <v>0.25</v>
      </c>
      <c r="N9" s="9" t="b">
        <v>0</v>
      </c>
      <c r="O9" s="9">
        <v>3</v>
      </c>
      <c r="P9" s="9">
        <v>7</v>
      </c>
      <c r="Q9" s="9">
        <v>5</v>
      </c>
      <c r="R9" s="4">
        <f>IF(Table17357[[#This Row],[CB FAIL SCENARIO]],MAX(Table17357[[#This Row],[NEAR]:[CB FAIL]]),MAX(Table17357[[#This Row],[NEAR]:[FAR]]))</f>
        <v>0.12</v>
      </c>
      <c r="S9" s="9"/>
      <c r="T9" s="9">
        <v>0</v>
      </c>
      <c r="U9" s="9">
        <v>0</v>
      </c>
      <c r="V9" s="9">
        <v>0</v>
      </c>
      <c r="W9" s="4">
        <v>10</v>
      </c>
      <c r="X9" s="4">
        <v>0.01</v>
      </c>
      <c r="Y9" s="9" t="b">
        <v>1</v>
      </c>
      <c r="Z9" s="9" t="b">
        <v>1</v>
      </c>
      <c r="AA9" s="17" t="str">
        <f>"0, AT "&amp;(Table17357[[#This Row],[Fault_Time_sig]])&amp;"s ↑ 1, at "&amp;(Table17357[[#This Row],[Fault_Time_sig]]+Table17357[[#This Row],[Fault_Duration_sig]])&amp;"s ↓ 0"</f>
        <v>0, AT 5s ↑ 1, at 5.12s ↓ 0</v>
      </c>
      <c r="AB9" s="14" t="str">
        <f>"TRIP BRANCH 'DE330_WO330|NEAR' AT "&amp;Table17357[[#This Row],[NEAR]]+Table17357[[#This Row],[Fault_Time_sig]]&amp;"s;
TRIP BRANCH 'DE330_WO330|FAR' AT "&amp;Table17357[[#This Row],[FAR]]+Table17357[[#This Row],[Fault_Time_sig]]&amp;"s;
APPLY FAULT TO BRANCH 'DE330_WO330'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'DE330_WO330|NEAR' AT 5.1s;
TRIP BRANCH 'DE330_WO330|FAR' AT 5.12s;
APPLY FAULT TO BRANCH 'DE330_WO330' AT 5s WITH TYPE=7, RF_OFFSET=0, XF_OFFSET=0, DURATION=0.12s, DISTANCE=0.01</v>
      </c>
      <c r="AC9" s="5">
        <v>20</v>
      </c>
      <c r="AD9" s="11"/>
      <c r="AE9" s="11"/>
      <c r="AF9" s="1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5.1s;
TRIP BRANCH 'BAL220_WAR220|FAR' AT 5.12s;
APPLY FAULT TO BRANCH 'BAL220_WAR220' AT 5s WITH TYPE=7, RF_OFFSET=0, XF_OFFSET=0, DURATION=0.12s, DISTANCE=0.01</v>
      </c>
      <c r="AG9" s="16"/>
    </row>
    <row r="10" spans="1:36" ht="84.6" customHeight="1" x14ac:dyDescent="0.3">
      <c r="A10" s="9" t="s">
        <v>24</v>
      </c>
      <c r="B10" s="4" t="str">
        <f>IF(Table17357[[#This Row],[Fault_Type_sig]]=7,"Balanced Faults",IF(Table17357[[#This Row],[Fault_Type_sig]]=4,"Unbalanced Faults","Plant Trip"))</f>
        <v>Balanced Faults</v>
      </c>
      <c r="C10" s="4" t="s">
        <v>106</v>
      </c>
      <c r="D10" s="9">
        <v>9</v>
      </c>
      <c r="E10" s="9"/>
      <c r="F10" s="4" t="s">
        <v>106</v>
      </c>
      <c r="G10" s="5" t="str">
        <f t="shared" si="0"/>
        <v>SummerLow_Case2_009</v>
      </c>
      <c r="H10" s="5">
        <v>100</v>
      </c>
      <c r="I10" s="9" t="b">
        <v>1</v>
      </c>
      <c r="J10" s="9" t="b">
        <v>1</v>
      </c>
      <c r="K10" s="9">
        <v>0.1</v>
      </c>
      <c r="L10" s="9">
        <v>0.12</v>
      </c>
      <c r="M10" s="9">
        <v>0.25</v>
      </c>
      <c r="N10" s="9" t="b">
        <v>0</v>
      </c>
      <c r="O10" s="9">
        <v>3</v>
      </c>
      <c r="P10" s="9">
        <v>7</v>
      </c>
      <c r="Q10" s="9">
        <v>5</v>
      </c>
      <c r="R10" s="4">
        <f>IF(Table17357[[#This Row],[CB FAIL SCENARIO]],MAX(Table17357[[#This Row],[NEAR]:[CB FAIL]]),MAX(Table17357[[#This Row],[NEAR]:[FAR]]))</f>
        <v>0.12</v>
      </c>
      <c r="S10" s="9"/>
      <c r="T10" s="9">
        <v>0</v>
      </c>
      <c r="U10" s="9">
        <v>0</v>
      </c>
      <c r="V10" s="9">
        <v>0</v>
      </c>
      <c r="W10" s="4">
        <v>10</v>
      </c>
      <c r="X10" s="4">
        <v>0.99</v>
      </c>
      <c r="Y10" s="9" t="b">
        <v>1</v>
      </c>
      <c r="Z10" s="9" t="b">
        <v>1</v>
      </c>
      <c r="AA10" s="17" t="str">
        <f>"0, AT "&amp;(Table17357[[#This Row],[Fault_Time_sig]])&amp;"s ↑ 1, at "&amp;(Table17357[[#This Row],[Fault_Time_sig]]+Table17357[[#This Row],[Fault_Duration_sig]])&amp;"s ↓ 0"</f>
        <v>0, AT 5s ↑ 1, at 5.12s ↓ 0</v>
      </c>
      <c r="AB10" s="14" t="str">
        <f>"TRIP BRANCH 'DE330_WO330|NEAR' AT "&amp;Table17357[[#This Row],[NEAR]]+Table17357[[#This Row],[Fault_Time_sig]]&amp;"s;
TRIP BRANCH 'DE330_WO330|FAR' AT "&amp;Table17357[[#This Row],[FAR]]+Table17357[[#This Row],[Fault_Time_sig]]&amp;"s;
RESTORE BRANCH 'DE330_WO330|NEAR' AT "&amp;Table17357[[#This Row],[NEAR]]+Table17357[[#This Row],[RECLOSE]]+Table17357[[#This Row],[Fault_Time_sig]]&amp;"s;
RESTORE BRANCH 'DE330_WO330|FAR' AT "&amp;Table17357[[#This Row],[NEAR]]+Table17357[[#This Row],[RECLOSE]]+Table17357[[#This Row],[Fault_Time_sig]]&amp;"s;
APPLY FAULT TO BRANCH 'DE330_WO330' AT "&amp;Table17357[[#This Row],[Fault_Time_sig]]&amp;"s WITH "
&amp;"TYPE="&amp;Table17357[[#This Row],[Fault_Type_sig]]
&amp;IF(Table17357[[#This Row],[Fault_Duration_sig]]="","",", DURATION="&amp;Table17357[[#This Row],[Fault_Duration_sig]]&amp;"s")
&amp;IF(Table17357[[#This Row],[Distance]]="","",", DISTANCE="&amp;Table17357[[#This Row],[Distance]])</f>
        <v>TRIP BRANCH 'DE330_WO330|NEAR' AT 5.1s;
TRIP BRANCH 'DE330_WO330|FAR' AT 5.12s;
RESTORE BRANCH 'DE330_WO330|NEAR' AT 8.1s;
RESTORE BRANCH 'DE330_WO330|FAR' AT 8.1s;
APPLY FAULT TO BRANCH 'DE330_WO330' AT 5s WITH TYPE=7, DURATION=0.12s, DISTANCE=0.99</v>
      </c>
      <c r="AC10" s="5">
        <v>20</v>
      </c>
      <c r="AD10" s="6"/>
      <c r="AE10" s="6"/>
      <c r="AF10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5.1s;
TRIP BRANCH 'BAL220_WAR220|FAR' AT 5.12s;
APPLY FAULT TO BRANCH 'BAL220_WAR220' AT 5s WITH TYPE=7, RF_OFFSET=0, XF_OFFSET=0, DURATION=0.12s, DISTANCE=0.99</v>
      </c>
      <c r="AG10" s="6"/>
    </row>
    <row r="11" spans="1:36" ht="58.2" customHeight="1" x14ac:dyDescent="0.3">
      <c r="A11" s="9" t="s">
        <v>24</v>
      </c>
      <c r="B11" s="4" t="str">
        <f>IF(Table17357[[#This Row],[Fault_Type_sig]]=7,"Balanced Faults",IF(Table17357[[#This Row],[Fault_Type_sig]]=4,"Unbalanced Faults","Plant Trip"))</f>
        <v>Balanced Faults</v>
      </c>
      <c r="C11" s="4" t="s">
        <v>106</v>
      </c>
      <c r="D11" s="9">
        <v>10</v>
      </c>
      <c r="E11" s="9"/>
      <c r="F11" s="4" t="s">
        <v>106</v>
      </c>
      <c r="G11" s="5" t="str">
        <f t="shared" si="0"/>
        <v>SummerLow_Case2_010</v>
      </c>
      <c r="H11" s="5">
        <v>100</v>
      </c>
      <c r="I11" s="9" t="b">
        <v>1</v>
      </c>
      <c r="J11" s="9" t="b">
        <v>1</v>
      </c>
      <c r="K11" s="9">
        <v>0.1</v>
      </c>
      <c r="L11" s="9">
        <v>0.12</v>
      </c>
      <c r="M11" s="9">
        <v>0.25</v>
      </c>
      <c r="N11" s="9" t="b">
        <v>0</v>
      </c>
      <c r="O11" s="9">
        <v>3</v>
      </c>
      <c r="P11" s="9">
        <v>7</v>
      </c>
      <c r="Q11" s="9">
        <v>5</v>
      </c>
      <c r="R11" s="4">
        <f>IF(Table17357[[#This Row],[CB FAIL SCENARIO]],MAX(Table17357[[#This Row],[NEAR]:[CB FAIL]]),MAX(Table17357[[#This Row],[NEAR]:[FAR]]))</f>
        <v>0.12</v>
      </c>
      <c r="S11" s="9"/>
      <c r="T11" s="9">
        <v>0</v>
      </c>
      <c r="U11" s="9">
        <v>0</v>
      </c>
      <c r="V11" s="9">
        <v>0</v>
      </c>
      <c r="W11" s="4">
        <v>10</v>
      </c>
      <c r="X11" s="4">
        <v>0.99</v>
      </c>
      <c r="Y11" s="9" t="b">
        <v>1</v>
      </c>
      <c r="Z11" s="9" t="b">
        <v>1</v>
      </c>
      <c r="AA11" s="17" t="str">
        <f>"0, AT "&amp;(Table17357[[#This Row],[Fault_Time_sig]])&amp;"s ↑ 1, at "&amp;(Table17357[[#This Row],[Fault_Time_sig]]+Table17357[[#This Row],[Fault_Duration_sig]])&amp;"s ↓ 0"</f>
        <v>0, AT 5s ↑ 1, at 5.12s ↓ 0</v>
      </c>
      <c r="AB11" s="13" t="str">
        <f>"TRIP BRANCH 'JIN330_WO330|NEAR' AT "&amp;Table17357[[#This Row],[NEAR]]+Table17357[[#This Row],[Fault_Time_sig]]&amp;"s;
TRIP BRANCH 'JIN330_WO330|FAR' AT "&amp;Table17357[[#This Row],[FAR]]+Table17357[[#This Row],[Fault_Time_sig]]&amp;"s;
RESTORE BRANCH 'JIN330_WO330|NEAR' AT "&amp;Table17357[[#This Row],[NEAR]]+Table17357[[#This Row],[RECLOSE]]+Table17357[[#This Row],[Fault_Time_sig]]&amp;"s;
RESTORE BRANCH 'JIN330_WO330|FAR' AT "&amp;Table17357[[#This Row],[NEAR]]+Table17357[[#This Row],[RECLOSE]]+Table17357[[#This Row],[Fault_Time_sig]]&amp;"s;
APPLY FAULT TO BRANCH 'JIN330_WO330'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'JIN330_WO330|NEAR' AT 5.1s;
TRIP BRANCH 'JIN330_WO330|FAR' AT 5.12s;
RESTORE BRANCH 'JIN330_WO330|NEAR' AT 8.1s;
RESTORE BRANCH 'JIN330_WO330|FAR' AT 8.1s;
APPLY FAULT TO BRANCH 'JIN330_WO330' AT 5s WITH TYPE=7, RF_OFFSET=0, XF_OFFSET=0, DURATION=0.12s, DISTANCE=0.99</v>
      </c>
      <c r="AC11" s="5">
        <v>20</v>
      </c>
      <c r="AD11" s="6"/>
      <c r="AE11" s="6"/>
      <c r="AF11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5.1s;
TRIP BRANCH 'BAL220_WAR220|FAR' AT 5.12s;
APPLY FAULT TO BRANCH 'BAL220_WAR220' AT 5s WITH TYPE=7, RF_OFFSET=0, XF_OFFSET=0, DURATION=0.12s, DISTANCE=0.99</v>
      </c>
      <c r="AG11" s="6"/>
    </row>
    <row r="12" spans="1:36" ht="80.400000000000006" customHeight="1" x14ac:dyDescent="0.3">
      <c r="A12" s="9" t="s">
        <v>24</v>
      </c>
      <c r="B12" s="4" t="str">
        <f>IF(Table17357[[#This Row],[Fault_Type_sig]]=7,"Balanced Faults",IF(Table17357[[#This Row],[Fault_Type_sig]]=4,"Unbalanced Faults","Plant Trip"))</f>
        <v>Balanced Faults</v>
      </c>
      <c r="C12" s="4" t="s">
        <v>106</v>
      </c>
      <c r="D12" s="9">
        <v>11</v>
      </c>
      <c r="E12" s="9"/>
      <c r="F12" s="4" t="s">
        <v>106</v>
      </c>
      <c r="G12" s="5" t="str">
        <f t="shared" si="0"/>
        <v>SummerLow_Case2_011</v>
      </c>
      <c r="H12" s="5">
        <v>100</v>
      </c>
      <c r="I12" s="9" t="b">
        <v>1</v>
      </c>
      <c r="J12" s="9" t="b">
        <v>1</v>
      </c>
      <c r="K12" s="9">
        <v>0.25</v>
      </c>
      <c r="L12" s="9">
        <v>0.25</v>
      </c>
      <c r="M12" s="9">
        <v>0.25</v>
      </c>
      <c r="N12" s="9" t="b">
        <v>1</v>
      </c>
      <c r="O12" s="9">
        <v>3</v>
      </c>
      <c r="P12" s="9">
        <v>7</v>
      </c>
      <c r="Q12" s="9">
        <v>5</v>
      </c>
      <c r="R12" s="4">
        <f>IF(Table17357[[#This Row],[CB FAIL SCENARIO]],MAX(Table17357[[#This Row],[NEAR]:[CB FAIL]]),MAX(Table17357[[#This Row],[NEAR]:[FAR]]))</f>
        <v>0.25</v>
      </c>
      <c r="S12" s="9"/>
      <c r="T12" s="9">
        <v>0</v>
      </c>
      <c r="U12" s="9">
        <v>0</v>
      </c>
      <c r="V12" s="9">
        <v>0</v>
      </c>
      <c r="W12" s="4">
        <v>10</v>
      </c>
      <c r="X12" s="4">
        <v>0.01</v>
      </c>
      <c r="Y12" s="9" t="b">
        <v>1</v>
      </c>
      <c r="Z12" s="9" t="b">
        <v>1</v>
      </c>
      <c r="AA12" s="17" t="str">
        <f>"0, AT "&amp;(Table17357[[#This Row],[Fault_Time_sig]])&amp;"s ↑ 1, at "&amp;(Table17357[[#This Row],[Fault_Time_sig]]+Table17357[[#This Row],[Fault_Duration_sig]])&amp;"s ↓ 0"</f>
        <v>0, AT 5s ↑ 1, at 5.25s ↓ 0</v>
      </c>
      <c r="AB12" s="13" t="str">
        <f>"TRIP BRANCH 'DED330_MUR330|NEAR' AT "&amp;Table17357[[#This Row],[NEAR]]+Table17357[[#This Row],[Fault_Time_sig]]&amp;"s;
TRIP BRANCH 'DED330_MUR330|FAR' AT "&amp;Table17357[[#This Row],[FAR]]+Table17357[[#This Row],[Fault_Time_sig]]&amp;"s;
APPLY FAULT TO BRANCH 'DED330_MUR330'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'DED330_MUR330|NEAR' AT 5.25s;
TRIP BRANCH 'DED330_MUR330|FAR' AT 5.25s;
APPLY FAULT TO BRANCH 'DED330_MUR330' AT 5s WITH TYPE=7, RF_OFFSET=0, XF_OFFSET=0, DURATION=0.25s, DISTANCE=0.01</v>
      </c>
      <c r="AC12" s="5">
        <v>20</v>
      </c>
      <c r="AD12" s="6"/>
      <c r="AE12" s="6"/>
      <c r="AF12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5.25s;
TRIP BRANCH 'BAL220_WAR220|FAR' AT 5.25s;
APPLY FAULT TO BRANCH 'BAL220_WAR220' AT 5s WITH TYPE=7, RF_OFFSET=0, XF_OFFSET=0, DURATION=0.25s, DISTANCE=0.01</v>
      </c>
      <c r="AG12" s="6" t="s">
        <v>99</v>
      </c>
      <c r="AH12" s="13" t="str">
        <f>"TRIP BRANCH 'DEDTXDUMMY|NEAR' AT "&amp;10+Table17357[[#This Row],[Fault_Time_sig]]&amp;"s;
TRIP BRANCH 'DEDTXDUMMY|FAR' AT "&amp;10+Table17357[[#This Row],[Fault_Time_sig]]&amp;"s;
TRIP BRANCH 'DEDTXDUMMY2|NEAR' AT "&amp;10+Table17357[[#This Row],[Fault_Time_sig]]&amp;"s;
TRIP BRANCH 'DEDTXDUMMY2|FAR' AT "&amp;10+Table17357[[#This Row],[Fault_Time_sig]]&amp;"s;
TRIP BRANCH 'DED330_MUR330No2|NEAR' AT "&amp;10+Table17357[[#This Row],[Fault_Time_sig]]&amp;"s;
TRIP BRANCH 'DED330_MUR330No2|FAR' AT "&amp;10+Table17357[[#This Row],[Fault_Time_sig]]&amp;"s"</f>
        <v>TRIP BRANCH 'DEDTXDUMMY|NEAR' AT 15s;
TRIP BRANCH 'DEDTXDUMMY|FAR' AT 15s;
TRIP BRANCH 'DEDTXDUMMY2|NEAR' AT 15s;
TRIP BRANCH 'DEDTXDUMMY2|FAR' AT 15s;
TRIP BRANCH 'DED330_MUR330No2|NEAR' AT 15s;
TRIP BRANCH 'DED330_MUR330No2|FAR' AT 15s</v>
      </c>
    </row>
    <row r="13" spans="1:36" ht="69.599999999999994" customHeight="1" x14ac:dyDescent="0.3">
      <c r="A13" s="9" t="s">
        <v>24</v>
      </c>
      <c r="B13" s="4" t="str">
        <f>IF(Table17357[[#This Row],[Fault_Type_sig]]=7,"Balanced Faults",IF(Table17357[[#This Row],[Fault_Type_sig]]=4,"Unbalanced Faults","Plant Trip"))</f>
        <v>Balanced Faults</v>
      </c>
      <c r="C13" s="4" t="s">
        <v>106</v>
      </c>
      <c r="D13" s="9">
        <v>12</v>
      </c>
      <c r="E13" s="9"/>
      <c r="F13" s="4" t="s">
        <v>106</v>
      </c>
      <c r="G13" s="5" t="str">
        <f t="shared" si="0"/>
        <v>SummerLow_Case2_012</v>
      </c>
      <c r="H13" s="5">
        <v>100</v>
      </c>
      <c r="I13" s="9" t="b">
        <v>1</v>
      </c>
      <c r="J13" s="9" t="b">
        <v>1</v>
      </c>
      <c r="K13" s="9">
        <v>0.1</v>
      </c>
      <c r="L13" s="9">
        <v>0.12</v>
      </c>
      <c r="M13" s="9">
        <v>0.25</v>
      </c>
      <c r="N13" s="9" t="b">
        <v>0</v>
      </c>
      <c r="O13" s="9">
        <v>3</v>
      </c>
      <c r="P13" s="9">
        <v>7</v>
      </c>
      <c r="Q13" s="9">
        <v>5</v>
      </c>
      <c r="R13" s="4">
        <f>IF(Table17357[[#This Row],[CB FAIL SCENARIO]],MAX(Table17357[[#This Row],[NEAR]:[CB FAIL]]),MAX(Table17357[[#This Row],[NEAR]:[FAR]]))</f>
        <v>0.12</v>
      </c>
      <c r="S13" s="9"/>
      <c r="T13" s="9">
        <v>0</v>
      </c>
      <c r="U13" s="9">
        <v>0</v>
      </c>
      <c r="V13" s="9">
        <v>0</v>
      </c>
      <c r="W13" s="4">
        <v>10</v>
      </c>
      <c r="X13" s="4">
        <v>0.01</v>
      </c>
      <c r="Y13" s="9" t="b">
        <v>1</v>
      </c>
      <c r="Z13" s="9" t="b">
        <v>1</v>
      </c>
      <c r="AA13" s="17" t="str">
        <f>"0, AT "&amp;(Table17357[[#This Row],[Fault_Time_sig]])&amp;"s ↑ 1, at "&amp;(Table17357[[#This Row],[Fault_Time_sig]]+Table17357[[#This Row],[Fault_Duration_sig]])&amp;"s ↓ 0"</f>
        <v>0, AT 5s ↑ 1, at 5.12s ↓ 0</v>
      </c>
      <c r="AB13" s="13" t="str">
        <f>"TRIP BRANCH 'DED330_SM330|NEAR' AT "&amp;Table17357[[#This Row],[NEAR]]+Table17357[[#This Row],[Fault_Time_sig]]&amp;"s;
TRIP BRANCH 'DED330_SM330|FAR' AT "&amp;Table17357[[#This Row],[FAR]]+Table17357[[#This Row],[Fault_Time_sig]]&amp;"s;
APPLY FAULT TO BRANCH 'DED330_SM330'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'DED330_SM330|NEAR' AT 5.1s;
TRIP BRANCH 'DED330_SM330|FAR' AT 5.12s;
APPLY FAULT TO BRANCH 'DED330_SM330' AT 5s WITH TYPE=7, RF_OFFSET=0, XF_OFFSET=0, DURATION=0.12s, DISTANCE=0.01</v>
      </c>
      <c r="AC13" s="5">
        <v>20</v>
      </c>
      <c r="AD13" s="6"/>
      <c r="AE13" s="6"/>
      <c r="AF13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5.1s;
TRIP BRANCH 'BAL220_WAR220|FAR' AT 5.12s;
APPLY FAULT TO BRANCH 'BAL220_WAR220' AT 5s WITH TYPE=7, RF_OFFSET=0, XF_OFFSET=0, DURATION=0.12s, DISTANCE=0.01</v>
      </c>
      <c r="AG13" s="6"/>
    </row>
    <row r="14" spans="1:36" ht="82.8" customHeight="1" x14ac:dyDescent="0.3">
      <c r="A14" s="9" t="s">
        <v>24</v>
      </c>
      <c r="B14" s="4" t="str">
        <f>IF(Table17357[[#This Row],[Fault_Type_sig]]=7,"Balanced Faults",IF(Table17357[[#This Row],[Fault_Type_sig]]=4,"Unbalanced Faults","Plant Trip"))</f>
        <v>Balanced Faults</v>
      </c>
      <c r="C14" s="4" t="s">
        <v>106</v>
      </c>
      <c r="D14" s="9">
        <v>13</v>
      </c>
      <c r="E14" s="9"/>
      <c r="F14" s="4" t="s">
        <v>106</v>
      </c>
      <c r="G14" s="5" t="str">
        <f t="shared" si="0"/>
        <v>SummerLow_Case2_013</v>
      </c>
      <c r="H14" s="5">
        <v>100</v>
      </c>
      <c r="I14" s="9" t="b">
        <v>1</v>
      </c>
      <c r="J14" s="9" t="b">
        <v>1</v>
      </c>
      <c r="K14" s="9">
        <v>0.25</v>
      </c>
      <c r="L14" s="9">
        <v>0.25</v>
      </c>
      <c r="M14" s="9">
        <v>0.25</v>
      </c>
      <c r="N14" s="9" t="b">
        <v>1</v>
      </c>
      <c r="O14" s="9">
        <v>3</v>
      </c>
      <c r="P14" s="9">
        <v>7</v>
      </c>
      <c r="Q14" s="9">
        <v>5</v>
      </c>
      <c r="R14" s="4">
        <f>IF(Table17357[[#This Row],[CB FAIL SCENARIO]],MAX(Table17357[[#This Row],[NEAR]:[CB FAIL]]),MAX(Table17357[[#This Row],[NEAR]:[FAR]]))</f>
        <v>0.25</v>
      </c>
      <c r="S14" s="9"/>
      <c r="T14" s="9">
        <v>0</v>
      </c>
      <c r="U14" s="9">
        <v>0</v>
      </c>
      <c r="V14" s="9">
        <v>0</v>
      </c>
      <c r="W14" s="4">
        <v>10</v>
      </c>
      <c r="X14" s="4">
        <v>0.99</v>
      </c>
      <c r="Y14" s="9" t="b">
        <v>1</v>
      </c>
      <c r="Z14" s="9" t="b">
        <v>1</v>
      </c>
      <c r="AA14" s="17" t="str">
        <f>"0, AT "&amp;(Table17357[[#This Row],[Fault_Time_sig]])&amp;"s ↑ 1, at "&amp;(Table17357[[#This Row],[Fault_Time_sig]]+Table17357[[#This Row],[Fault_Duration_sig]])&amp;"s ↓ 0"</f>
        <v>0, AT 5s ↑ 1, at 5.25s ↓ 0</v>
      </c>
      <c r="AB14" s="13" t="str">
        <f>"TRIP BRANCH 'LWTM330_MUR330|NEAR' AT "&amp;Table17357[[#This Row],[NEAR]]+Table17357[[#This Row],[Fault_Time_sig]]&amp;"s;
TRIP BRANCH 'LWTM330_MUR330|FAR' AT "&amp;Table17357[[#This Row],[FAR]]+Table17357[[#This Row],[Fault_Time_sig]]&amp;"s;
APPLY FAULT TO BRANCH 'LWTM330_MUR330'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'LWTM330_MUR330|NEAR' AT 5.25s;
TRIP BRANCH 'LWTM330_MUR330|FAR' AT 5.25s;
APPLY FAULT TO BRANCH 'LWTM330_MUR330' AT 5s WITH TYPE=7, RF_OFFSET=0, XF_OFFSET=0, DURATION=0.25s, DISTANCE=0.99</v>
      </c>
      <c r="AC14" s="5">
        <v>20</v>
      </c>
      <c r="AD14" s="6"/>
      <c r="AE14" s="6"/>
      <c r="AF14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5.25s;
TRIP BRANCH 'BAL220_WAR220|FAR' AT 5.25s;
APPLY FAULT TO BRANCH 'BAL220_WAR220' AT 5s WITH TYPE=7, RF_OFFSET=0, XF_OFFSET=0, DURATION=0.25s, DISTANCE=0.99</v>
      </c>
      <c r="AG14" s="6"/>
    </row>
    <row r="15" spans="1:36" ht="87" customHeight="1" x14ac:dyDescent="0.3">
      <c r="A15" s="9" t="s">
        <v>24</v>
      </c>
      <c r="B15" s="4" t="str">
        <f>IF(Table17357[[#This Row],[Fault_Type_sig]]=7,"Balanced Faults",IF(Table17357[[#This Row],[Fault_Type_sig]]=4,"Unbalanced Faults","Plant Trip"))</f>
        <v>Balanced Faults</v>
      </c>
      <c r="C15" s="4" t="s">
        <v>106</v>
      </c>
      <c r="D15" s="9">
        <v>14</v>
      </c>
      <c r="E15" s="9"/>
      <c r="F15" s="4" t="s">
        <v>106</v>
      </c>
      <c r="G15" s="5" t="str">
        <f t="shared" si="0"/>
        <v>SummerLow_Case2_014</v>
      </c>
      <c r="H15" s="5">
        <v>100</v>
      </c>
      <c r="I15" s="9" t="b">
        <v>1</v>
      </c>
      <c r="J15" s="9" t="b">
        <v>1</v>
      </c>
      <c r="K15" s="9">
        <v>0.1</v>
      </c>
      <c r="L15" s="9">
        <v>0.12</v>
      </c>
      <c r="M15" s="9">
        <v>0.25</v>
      </c>
      <c r="N15" s="9" t="b">
        <v>0</v>
      </c>
      <c r="O15" s="9">
        <v>3</v>
      </c>
      <c r="P15" s="9">
        <v>7</v>
      </c>
      <c r="Q15" s="9">
        <v>5</v>
      </c>
      <c r="R15" s="4">
        <f>IF(Table17357[[#This Row],[CB FAIL SCENARIO]],MAX(Table17357[[#This Row],[NEAR]:[CB FAIL]]),MAX(Table17357[[#This Row],[NEAR]:[FAR]]))</f>
        <v>0.12</v>
      </c>
      <c r="S15" s="9"/>
      <c r="T15" s="9">
        <v>0</v>
      </c>
      <c r="U15" s="9">
        <v>0</v>
      </c>
      <c r="V15" s="9">
        <v>0</v>
      </c>
      <c r="W15" s="4">
        <v>10</v>
      </c>
      <c r="X15" s="4">
        <v>0.99</v>
      </c>
      <c r="Y15" s="9" t="b">
        <v>1</v>
      </c>
      <c r="Z15" s="9" t="b">
        <v>1</v>
      </c>
      <c r="AA15" s="17" t="str">
        <f>"0, AT "&amp;(Table17357[[#This Row],[Fault_Time_sig]])&amp;"s ↑ 1, at "&amp;(Table17357[[#This Row],[Fault_Time_sig]]+Table17357[[#This Row],[Fault_Duration_sig]])&amp;"s ↓ 0"</f>
        <v>0, AT 5s ↑ 1, at 5.12s ↓ 0</v>
      </c>
      <c r="AB15" s="13" t="str">
        <f>"TRIP BRANCH 'LWTM330_UPTM330|NEAR' AT "&amp;Table17357[[#This Row],[NEAR]]+Table17357[[#This Row],[Fault_Time_sig]]&amp;"s;
TRIP BRANCH 'LWTM330_UPTM330|FAR' AT "&amp;Table17357[[#This Row],[FAR]]+Table17357[[#This Row],[Fault_Time_sig]]&amp;"s;
APPLY FAULT TO BRANCH 'LWTM330_UPTM330'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'LWTM330_UPTM330|NEAR' AT 5.1s;
TRIP BRANCH 'LWTM330_UPTM330|FAR' AT 5.12s;
APPLY FAULT TO BRANCH 'LWTM330_UPTM330' AT 5s WITH TYPE=7, RF_OFFSET=0, XF_OFFSET=0, DURATION=0.12s, DISTANCE=0.99</v>
      </c>
      <c r="AC15" s="5">
        <v>20</v>
      </c>
      <c r="AD15" s="6"/>
      <c r="AE15" s="6"/>
      <c r="AF15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5.1s;
TRIP BRANCH 'BAL220_WAR220|FAR' AT 5.12s;
APPLY FAULT TO BRANCH 'BAL220_WAR220' AT 5s WITH TYPE=7, RF_OFFSET=0, XF_OFFSET=0, DURATION=0.12s, DISTANCE=0.99</v>
      </c>
      <c r="AG15" s="6"/>
    </row>
    <row r="16" spans="1:36" ht="76.8" customHeight="1" x14ac:dyDescent="0.3">
      <c r="A16" s="9" t="s">
        <v>24</v>
      </c>
      <c r="B16" s="4" t="str">
        <f>IF(Table17357[[#This Row],[Fault_Type_sig]]=7,"Balanced Faults",IF(Table17357[[#This Row],[Fault_Type_sig]]=4,"Unbalanced Faults","Plant Trip"))</f>
        <v>Balanced Faults</v>
      </c>
      <c r="C16" s="4" t="s">
        <v>106</v>
      </c>
      <c r="D16" s="9">
        <v>15</v>
      </c>
      <c r="E16" s="9"/>
      <c r="F16" s="4" t="s">
        <v>106</v>
      </c>
      <c r="G16" s="5" t="str">
        <f t="shared" si="0"/>
        <v>SummerLow_Case2_015</v>
      </c>
      <c r="H16" s="5">
        <v>100</v>
      </c>
      <c r="I16" s="9" t="b">
        <v>1</v>
      </c>
      <c r="J16" s="9" t="b">
        <v>1</v>
      </c>
      <c r="K16" s="9">
        <v>0.12</v>
      </c>
      <c r="L16" s="9">
        <v>0.22</v>
      </c>
      <c r="M16" s="9">
        <v>0.43</v>
      </c>
      <c r="N16" s="9" t="b">
        <v>0</v>
      </c>
      <c r="O16" s="9">
        <v>3</v>
      </c>
      <c r="P16" s="9">
        <v>7</v>
      </c>
      <c r="Q16" s="9">
        <v>5</v>
      </c>
      <c r="R16" s="4">
        <f>IF(Table17357[[#This Row],[CB FAIL SCENARIO]],MAX(Table17357[[#This Row],[NEAR]:[CB FAIL]]),MAX(Table17357[[#This Row],[NEAR]:[FAR]]))</f>
        <v>0.22</v>
      </c>
      <c r="S16" s="9"/>
      <c r="T16" s="9">
        <v>0</v>
      </c>
      <c r="U16" s="9">
        <v>0</v>
      </c>
      <c r="V16" s="9">
        <v>0</v>
      </c>
      <c r="W16" s="4">
        <v>10</v>
      </c>
      <c r="X16" s="4">
        <v>0.01</v>
      </c>
      <c r="Y16" s="9" t="b">
        <v>1</v>
      </c>
      <c r="Z16" s="9" t="b">
        <v>1</v>
      </c>
      <c r="AA16" s="17" t="str">
        <f>"0, AT "&amp;(Table17357[[#This Row],[Fault_Time_sig]])&amp;"s ↑ 1, at "&amp;(Table17357[[#This Row],[Fault_Time_sig]]+Table17357[[#This Row],[Fault_Duration_sig]])&amp;"s ↓ 0"</f>
        <v>0, AT 5s ↑ 1, at 5.22s ↓ 0</v>
      </c>
      <c r="AB16" s="13" t="str">
        <f>"TRIP BRANCH 'DED220_GLEN220|NEAR' AT "&amp;Table17357[[#This Row],[NEAR]]+Table17357[[#This Row],[Fault_Time_sig]]&amp;"s;
TRIP BRANCH 'DED220_GLEN220|FAR' AT "&amp;Table17357[[#This Row],[FAR]]+Table17357[[#This Row],[Fault_Time_sig]]&amp;"s;
APPLY FAULT TO BRANCH 'DED220_GLEN220'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'DED220_GLEN220|NEAR' AT 5.12s;
TRIP BRANCH 'DED220_GLEN220|FAR' AT 5.22s;
APPLY FAULT TO BRANCH 'DED220_GLEN220' AT 5s WITH TYPE=7, RF_OFFSET=0, XF_OFFSET=0, DURATION=0.22s, DISTANCE=0.01</v>
      </c>
      <c r="AC16" s="5">
        <v>20</v>
      </c>
      <c r="AD16" s="6"/>
      <c r="AE16" s="6"/>
      <c r="AF16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5.12s;
TRIP BRANCH 'BAL220_WAR220|FAR' AT 5.22s;
APPLY FAULT TO BRANCH 'BAL220_WAR220' AT 5s WITH TYPE=7, RF_OFFSET=0, XF_OFFSET=0, DURATION=0.22s, DISTANCE=0.01</v>
      </c>
      <c r="AG16" s="6"/>
    </row>
    <row r="17" spans="1:36" ht="85.8" customHeight="1" x14ac:dyDescent="0.3">
      <c r="A17" s="9" t="s">
        <v>24</v>
      </c>
      <c r="B17" s="4" t="str">
        <f>IF(Table17357[[#This Row],[Fault_Type_sig]]=7,"Balanced Faults",IF(Table17357[[#This Row],[Fault_Type_sig]]=4,"Unbalanced Faults","Plant Trip"))</f>
        <v>Balanced Faults</v>
      </c>
      <c r="C17" s="4" t="s">
        <v>106</v>
      </c>
      <c r="D17" s="9">
        <v>16</v>
      </c>
      <c r="E17" s="9"/>
      <c r="F17" s="4" t="s">
        <v>106</v>
      </c>
      <c r="G17" s="5" t="str">
        <f t="shared" si="0"/>
        <v>SummerLow_Case2_016</v>
      </c>
      <c r="H17" s="5">
        <v>100</v>
      </c>
      <c r="I17" s="9" t="b">
        <v>1</v>
      </c>
      <c r="J17" s="9" t="b">
        <v>1</v>
      </c>
      <c r="K17" s="9">
        <v>0.43</v>
      </c>
      <c r="L17" s="9">
        <v>0.43</v>
      </c>
      <c r="M17" s="9">
        <v>0.43</v>
      </c>
      <c r="N17" s="9" t="b">
        <v>1</v>
      </c>
      <c r="O17" s="9">
        <v>3</v>
      </c>
      <c r="P17" s="9">
        <v>7</v>
      </c>
      <c r="Q17" s="9">
        <v>5</v>
      </c>
      <c r="R17" s="4">
        <f>IF(Table17357[[#This Row],[CB FAIL SCENARIO]],MAX(Table17357[[#This Row],[NEAR]:[CB FAIL]]),MAX(Table17357[[#This Row],[NEAR]:[FAR]]))</f>
        <v>0.43</v>
      </c>
      <c r="S17" s="9"/>
      <c r="T17" s="9">
        <v>0</v>
      </c>
      <c r="U17" s="9">
        <v>0</v>
      </c>
      <c r="V17" s="9">
        <v>0</v>
      </c>
      <c r="W17" s="4">
        <v>10</v>
      </c>
      <c r="X17" s="4">
        <v>0.01</v>
      </c>
      <c r="Y17" s="9" t="b">
        <v>1</v>
      </c>
      <c r="Z17" s="9" t="b">
        <v>1</v>
      </c>
      <c r="AA17" s="17" t="str">
        <f>"0, AT "&amp;(Table17357[[#This Row],[Fault_Time_sig]])&amp;"s ↑ 1, at "&amp;(Table17357[[#This Row],[Fault_Time_sig]]+Table17357[[#This Row],[Fault_Duration_sig]])&amp;"s ↓ 0"</f>
        <v>0, AT 5s ↑ 1, at 5.43s ↓ 0</v>
      </c>
      <c r="AB17" s="13" t="str">
        <f>"TRIP BRANCH 'SHEP220_GLEN220|NEAR' AT "&amp;Table17357[[#This Row],[NEAR]]+Table17357[[#This Row],[Fault_Time_sig]]&amp;"s;
TRIP BRANCH 'SHEP220_GLEN220|FAR' AT "&amp;Table17357[[#This Row],[FAR]]+Table17357[[#This Row],[Fault_Time_sig]]&amp;"s;
APPLY FAULT TO BRANCH 'SHEP220_GLEN220'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'SHEP220_GLEN220|NEAR' AT 5.43s;
TRIP BRANCH 'SHEP220_GLEN220|FAR' AT 5.43s;
APPLY FAULT TO BRANCH 'SHEP220_GLEN220' AT 5s WITH TYPE=7, RF_OFFSET=0, XF_OFFSET=0, DURATION=0.43s, DISTANCE=0.01</v>
      </c>
      <c r="AC17" s="5">
        <v>20</v>
      </c>
      <c r="AD17" s="6"/>
      <c r="AE17" s="6"/>
      <c r="AF17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5.43s;
TRIP BRANCH 'BAL220_WAR220|FAR' AT 5.43s;
APPLY FAULT TO BRANCH 'BAL220_WAR220' AT 5s WITH TYPE=7, RF_OFFSET=0, XF_OFFSET=0, DURATION=0.43s, DISTANCE=0.01</v>
      </c>
      <c r="AG17" s="6"/>
    </row>
    <row r="18" spans="1:36" ht="72" customHeight="1" x14ac:dyDescent="0.3">
      <c r="A18" s="9" t="s">
        <v>24</v>
      </c>
      <c r="B18" s="4" t="str">
        <f>IF(Table17357[[#This Row],[Fault_Type_sig]]=7,"Balanced Faults",IF(Table17357[[#This Row],[Fault_Type_sig]]=4,"Unbalanced Faults","Plant Trip"))</f>
        <v>Balanced Faults</v>
      </c>
      <c r="C18" s="4" t="s">
        <v>106</v>
      </c>
      <c r="D18" s="9">
        <v>17</v>
      </c>
      <c r="E18" s="9"/>
      <c r="F18" s="4" t="s">
        <v>106</v>
      </c>
      <c r="G18" s="5" t="str">
        <f t="shared" si="0"/>
        <v>SummerLow_Case2_017</v>
      </c>
      <c r="H18" s="5">
        <v>100</v>
      </c>
      <c r="I18" s="9" t="b">
        <v>1</v>
      </c>
      <c r="J18" s="9" t="b">
        <v>1</v>
      </c>
      <c r="K18" s="9">
        <v>0.12</v>
      </c>
      <c r="L18" s="9">
        <v>0.22</v>
      </c>
      <c r="M18" s="9">
        <v>0.43</v>
      </c>
      <c r="N18" s="9" t="b">
        <v>0</v>
      </c>
      <c r="O18" s="9">
        <v>3</v>
      </c>
      <c r="P18" s="9">
        <v>7</v>
      </c>
      <c r="Q18" s="9">
        <v>5</v>
      </c>
      <c r="R18" s="4">
        <f>IF(Table17357[[#This Row],[CB FAIL SCENARIO]],MAX(Table17357[[#This Row],[NEAR]:[CB FAIL]]),MAX(Table17357[[#This Row],[NEAR]:[FAR]]))</f>
        <v>0.22</v>
      </c>
      <c r="S18" s="9"/>
      <c r="T18" s="9">
        <v>0</v>
      </c>
      <c r="U18" s="9">
        <v>0</v>
      </c>
      <c r="V18" s="9">
        <v>0</v>
      </c>
      <c r="W18" s="4">
        <v>10</v>
      </c>
      <c r="X18" s="4">
        <v>0.99</v>
      </c>
      <c r="Y18" s="9" t="b">
        <v>1</v>
      </c>
      <c r="Z18" s="9" t="b">
        <v>1</v>
      </c>
      <c r="AA18" s="17" t="str">
        <f>"0, AT "&amp;(Table17357[[#This Row],[Fault_Time_sig]])&amp;"s ↑ 1, at "&amp;(Table17357[[#This Row],[Fault_Time_sig]]+Table17357[[#This Row],[Fault_Duration_sig]])&amp;"s ↓ 0"</f>
        <v>0, AT 5s ↑ 1, at 5.22s ↓ 0</v>
      </c>
      <c r="AB18" s="13" t="str">
        <f>"TRIP BRANCH 'SHEP220_GLEN220|NEAR' AT "&amp;Table17357[[#This Row],[NEAR]]+Table17357[[#This Row],[Fault_Time_sig]]&amp;"s;
TRIP BRANCH 'SHEP220_GLEN220|FAR' AT "&amp;Table17357[[#This Row],[FAR]]+Table17357[[#This Row],[Fault_Time_sig]]&amp;"s;
APPLY FAULT TO BRANCH 'SHEP220_GLEN220'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'SHEP220_GLEN220|NEAR' AT 5.12s;
TRIP BRANCH 'SHEP220_GLEN220|FAR' AT 5.22s;
APPLY FAULT TO BRANCH 'SHEP220_GLEN220' AT 5s WITH TYPE=7, RF_OFFSET=0, XF_OFFSET=0, DURATION=0.22s, DISTANCE=0.99</v>
      </c>
      <c r="AC18" s="5">
        <v>20</v>
      </c>
      <c r="AD18" s="6"/>
      <c r="AE18" s="6"/>
      <c r="AF18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5.12s;
TRIP BRANCH 'BAL220_WAR220|FAR' AT 5.22s;
APPLY FAULT TO BRANCH 'BAL220_WAR220' AT 5s WITH TYPE=7, RF_OFFSET=0, XF_OFFSET=0, DURATION=0.22s, DISTANCE=0.99</v>
      </c>
      <c r="AG18" s="6"/>
    </row>
    <row r="19" spans="1:36" ht="81.599999999999994" customHeight="1" x14ac:dyDescent="0.3">
      <c r="A19" s="9" t="s">
        <v>24</v>
      </c>
      <c r="B19" s="4" t="str">
        <f>IF(Table17357[[#This Row],[Fault_Type_sig]]=7,"Balanced Faults",IF(Table17357[[#This Row],[Fault_Type_sig]]=4,"Unbalanced Faults","Plant Trip"))</f>
        <v>Balanced Faults</v>
      </c>
      <c r="C19" s="4" t="s">
        <v>106</v>
      </c>
      <c r="D19" s="9">
        <v>18</v>
      </c>
      <c r="E19" s="9"/>
      <c r="F19" s="4" t="s">
        <v>106</v>
      </c>
      <c r="G19" s="5" t="str">
        <f t="shared" si="0"/>
        <v>SummerLow_Case2_018</v>
      </c>
      <c r="H19" s="5">
        <v>100</v>
      </c>
      <c r="I19" s="9" t="b">
        <v>1</v>
      </c>
      <c r="J19" s="9" t="b">
        <v>1</v>
      </c>
      <c r="K19" s="9">
        <v>0.12</v>
      </c>
      <c r="L19" s="9">
        <v>0.22</v>
      </c>
      <c r="M19" s="9">
        <v>0.43</v>
      </c>
      <c r="N19" s="9" t="b">
        <v>0</v>
      </c>
      <c r="O19" s="9">
        <v>3</v>
      </c>
      <c r="P19" s="9">
        <v>7</v>
      </c>
      <c r="Q19" s="9">
        <v>5</v>
      </c>
      <c r="R19" s="4">
        <f>IF(Table17357[[#This Row],[CB FAIL SCENARIO]],MAX(Table17357[[#This Row],[NEAR]:[CB FAIL]]),MAX(Table17357[[#This Row],[NEAR]:[FAR]]))</f>
        <v>0.22</v>
      </c>
      <c r="S19" s="9"/>
      <c r="T19" s="9">
        <v>0</v>
      </c>
      <c r="U19" s="9">
        <v>0</v>
      </c>
      <c r="V19" s="9">
        <v>0</v>
      </c>
      <c r="W19" s="4">
        <v>10</v>
      </c>
      <c r="X19" s="4">
        <v>0.01</v>
      </c>
      <c r="Y19" s="9" t="b">
        <v>1</v>
      </c>
      <c r="Z19" s="9" t="b">
        <v>1</v>
      </c>
      <c r="AA19" s="17" t="str">
        <f>"0, AT "&amp;(Table17357[[#This Row],[Fault_Time_sig]])&amp;"s ↑ 1, at "&amp;(Table17357[[#This Row],[Fault_Time_sig]]+Table17357[[#This Row],[Fault_Duration_sig]])&amp;"s ↓ 0"</f>
        <v>0, AT 5s ↑ 1, at 5.22s ↓ 0</v>
      </c>
      <c r="AB19" s="13" t="str">
        <f>"TRIP BRANCH 'DED220_MTB220|NEAR' AT "&amp;Table17357[[#This Row],[NEAR]]+Table17357[[#This Row],[Fault_Time_sig]]&amp;"s;
TRIP BRANCH 'DED220_MTB220|FAR' AT "&amp;Table17357[[#This Row],[FAR]]+Table17357[[#This Row],[Fault_Time_sig]]&amp;"s;
APPLY FAULT TO BRANCH 'DED220_MTB220'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'DED220_MTB220|NEAR' AT 5.12s;
TRIP BRANCH 'DED220_MTB220|FAR' AT 5.22s;
APPLY FAULT TO BRANCH 'DED220_MTB220' AT 5s WITH TYPE=7, RF_OFFSET=0, XF_OFFSET=0, DURATION=0.22s, DISTANCE=0.01</v>
      </c>
      <c r="AC19" s="5">
        <v>20</v>
      </c>
      <c r="AD19" s="6"/>
      <c r="AE19" s="6"/>
      <c r="AF19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5.12s;
TRIP BRANCH 'BAL220_WAR220|FAR' AT 5.22s;
APPLY FAULT TO BRANCH 'BAL220_WAR220' AT 5s WITH TYPE=7, RF_OFFSET=0, XF_OFFSET=0, DURATION=0.22s, DISTANCE=0.01</v>
      </c>
      <c r="AG19" s="6"/>
    </row>
    <row r="20" spans="1:36" ht="84" customHeight="1" x14ac:dyDescent="0.3">
      <c r="A20" s="9" t="s">
        <v>24</v>
      </c>
      <c r="B20" s="4" t="str">
        <f>IF(Table17357[[#This Row],[Fault_Type_sig]]=7,"Balanced Faults",IF(Table17357[[#This Row],[Fault_Type_sig]]=4,"Unbalanced Faults","Plant Trip"))</f>
        <v>Balanced Faults</v>
      </c>
      <c r="C20" s="4" t="s">
        <v>106</v>
      </c>
      <c r="D20" s="9">
        <v>19</v>
      </c>
      <c r="E20" s="9"/>
      <c r="F20" s="4" t="s">
        <v>106</v>
      </c>
      <c r="G20" s="5" t="str">
        <f t="shared" si="0"/>
        <v>SummerLow_Case2_019</v>
      </c>
      <c r="H20" s="5">
        <v>100</v>
      </c>
      <c r="I20" s="9" t="b">
        <v>1</v>
      </c>
      <c r="J20" s="9" t="b">
        <v>1</v>
      </c>
      <c r="K20" s="9">
        <v>0.43</v>
      </c>
      <c r="L20" s="9">
        <v>0.43</v>
      </c>
      <c r="M20" s="9">
        <v>0.43</v>
      </c>
      <c r="N20" s="9" t="b">
        <v>1</v>
      </c>
      <c r="O20" s="9">
        <v>3</v>
      </c>
      <c r="P20" s="9">
        <v>7</v>
      </c>
      <c r="Q20" s="9">
        <v>5</v>
      </c>
      <c r="R20" s="4">
        <f>IF(Table17357[[#This Row],[CB FAIL SCENARIO]],MAX(Table17357[[#This Row],[NEAR]:[CB FAIL]]),MAX(Table17357[[#This Row],[NEAR]:[FAR]]))</f>
        <v>0.43</v>
      </c>
      <c r="S20" s="9"/>
      <c r="T20" s="9">
        <v>0</v>
      </c>
      <c r="U20" s="9">
        <v>0</v>
      </c>
      <c r="V20" s="9">
        <v>0</v>
      </c>
      <c r="W20" s="4">
        <v>10</v>
      </c>
      <c r="X20" s="4">
        <v>0.99</v>
      </c>
      <c r="Y20" s="9" t="b">
        <v>1</v>
      </c>
      <c r="Z20" s="9" t="b">
        <v>1</v>
      </c>
      <c r="AA20" s="17" t="str">
        <f>"0, AT "&amp;(Table17357[[#This Row],[Fault_Time_sig]])&amp;"s ↑ 1, at "&amp;(Table17357[[#This Row],[Fault_Time_sig]]+Table17357[[#This Row],[Fault_Duration_sig]])&amp;"s ↓ 0"</f>
        <v>0, AT 5s ↑ 1, at 5.43s ↓ 0</v>
      </c>
      <c r="AB20" s="13" t="str">
        <f>"TRIP BRANCH 'FO220_SHEP220|NEAR' AT "&amp;Table17357[[#This Row],[NEAR]]+Table17357[[#This Row],[Fault_Time_sig]]&amp;"s;
TRIP BRANCH 'FO220_SHEP220|FAR' AT "&amp;Table17357[[#This Row],[FAR]]+Table17357[[#This Row],[Fault_Time_sig]]&amp;"s;
APPLY FAULT TO BRANCH 'FO220_SHEP220'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'FO220_SHEP220|NEAR' AT 5.43s;
TRIP BRANCH 'FO220_SHEP220|FAR' AT 5.43s;
APPLY FAULT TO BRANCH 'FO220_SHEP220' AT 5s WITH TYPE=7, RF_OFFSET=0, XF_OFFSET=0, DURATION=0.43s, DISTANCE=0.99</v>
      </c>
      <c r="AC20" s="5">
        <v>20</v>
      </c>
      <c r="AD20" s="6"/>
      <c r="AE20" s="6"/>
      <c r="AF20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5.43s;
TRIP BRANCH 'BAL220_WAR220|FAR' AT 5.43s;
APPLY FAULT TO BRANCH 'BAL220_WAR220' AT 5s WITH TYPE=7, RF_OFFSET=0, XF_OFFSET=0, DURATION=0.43s, DISTANCE=0.99</v>
      </c>
      <c r="AG20" s="6"/>
    </row>
    <row r="21" spans="1:36" ht="359.4" customHeight="1" x14ac:dyDescent="0.3">
      <c r="A21" s="9" t="s">
        <v>24</v>
      </c>
      <c r="B21" s="4" t="str">
        <f>IF(Table17357[[#This Row],[Fault_Type_sig]]=7,"Balanced Faults",IF(Table17357[[#This Row],[Fault_Type_sig]]=4,"Unbalanced Faults","Plant Trip"))</f>
        <v>Balanced Faults</v>
      </c>
      <c r="C21" s="4" t="s">
        <v>106</v>
      </c>
      <c r="D21" s="9">
        <v>20</v>
      </c>
      <c r="E21" s="9"/>
      <c r="F21" s="4" t="s">
        <v>106</v>
      </c>
      <c r="G21" s="5" t="str">
        <f t="shared" si="0"/>
        <v>SummerLow_Case2_020</v>
      </c>
      <c r="H21" s="5">
        <v>100</v>
      </c>
      <c r="I21" s="9" t="b">
        <v>1</v>
      </c>
      <c r="J21" s="9" t="b">
        <v>1</v>
      </c>
      <c r="K21" s="9">
        <v>0.12</v>
      </c>
      <c r="L21" s="9">
        <v>0.22</v>
      </c>
      <c r="M21" s="9">
        <v>0.43</v>
      </c>
      <c r="N21" s="9" t="b">
        <v>0</v>
      </c>
      <c r="O21" s="9">
        <v>3</v>
      </c>
      <c r="P21" s="9">
        <v>7</v>
      </c>
      <c r="Q21" s="9">
        <v>5</v>
      </c>
      <c r="R21" s="4">
        <f>IF(Table17357[[#This Row],[CB FAIL SCENARIO]],MAX(Table17357[[#This Row],[NEAR]:[CB FAIL]]),MAX(Table17357[[#This Row],[NEAR]:[FAR]]))</f>
        <v>0.22</v>
      </c>
      <c r="S21" s="9"/>
      <c r="T21" s="9">
        <v>0</v>
      </c>
      <c r="U21" s="9">
        <v>0</v>
      </c>
      <c r="V21" s="9">
        <v>0</v>
      </c>
      <c r="W21" s="4">
        <v>10</v>
      </c>
      <c r="X21" s="4">
        <v>0.01</v>
      </c>
      <c r="Y21" s="9" t="b">
        <v>1</v>
      </c>
      <c r="Z21" s="9" t="b">
        <v>1</v>
      </c>
      <c r="AA21" s="17" t="str">
        <f>"0, AT "&amp;(Table17357[[#This Row],[Fault_Time_sig]])&amp;"s ↑ 1, at "&amp;(Table17357[[#This Row],[Fault_Time_sig]]+Table17357[[#This Row],[Fault_Duration_sig]])&amp;"s ↓ 0"</f>
        <v>0, AT 5s ↑ 1, at 5.22s ↓ 0</v>
      </c>
      <c r="AB21" s="18" t="s">
        <v>100</v>
      </c>
      <c r="AC21" s="5">
        <v>20</v>
      </c>
      <c r="AD21" s="6"/>
      <c r="AE21" s="6"/>
      <c r="AF21" s="13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5.12s;
TRIP BRANCH 'BAL220_WAR220|FAR' AT 5.22s;
APPLY FAULT TO BRANCH 'BAL220_WAR220' AT 5s WITH TYPE=7, RF_OFFSET=0, XF_OFFSET=0, DURATION=0.22s, DISTANCE=0.01</v>
      </c>
      <c r="AG21" s="13" t="s">
        <v>101</v>
      </c>
      <c r="AH21" s="15" t="str">
        <f>"TRIP BRANCH 'MURRA_HOTS|NEAR' AT "&amp;0.2+Table17357[[#This Row],[Fault_Time_sig]]&amp;"s;
TRIP BRANCH 'MURRA_HOTS|FAR' AT "&amp;0.2+Table17357[[#This Row],[Fault_Time_sig]]&amp;"s;
TRIP BRANCH 'MURRA_MRTS|NEAR' AT "&amp;0.18+Table17357[[#This Row],[Fault_Time_sig]]&amp;"s;
TRIP BRANCH 'MURRA_MRTS|FAR' AT "&amp;0.18+Table17357[[#This Row],[Fault_Time_sig]]&amp;"s;
TRIP BRANCH 'MURRA_KIAM|NEAR' AT "&amp;0.18+Table17357[[#This Row],[Fault_Time_sig]]&amp;"s;
TRIP BRANCH 'MURRA_KIAM|FAR' AT "&amp;0.18+Table17357[[#This Row],[Fault_Time_sig]]&amp;"s"</f>
        <v>TRIP BRANCH 'MURRA_HOTS|NEAR' AT 5.2s;
TRIP BRANCH 'MURRA_HOTS|FAR' AT 5.2s;
TRIP BRANCH 'MURRA_MRTS|NEAR' AT 5.18s;
TRIP BRANCH 'MURRA_MRTS|FAR' AT 5.18s;
TRIP BRANCH 'MURRA_KIAM|NEAR' AT 5.18s;
TRIP BRANCH 'MURRA_KIAM|FAR' AT 5.18s</v>
      </c>
      <c r="AI21" t="str">
        <f>"TRIP MACHINE 'WBTSG1' AT "&amp;0.2+Table17357[[#This Row],[Fault_Time_sig]]&amp;"s;
TRIP MACHINE 'WBTSG2' AT "&amp;0.2+Table17357[[#This Row],[Fault_Time_sig]]&amp;"s;
TRIP MACHINE 'WBTSG3' AT "&amp;0.2+Table17357[[#This Row],[Fault_Time_sig]]&amp;"s;
TRIP MACHINE 'WBTSG4' AT "&amp;0.2+Table17357[[#This Row],[Fault_Time_sig]]&amp;"s;
TRIP MACHINE 'WBTSG5' AT "&amp;0.2+Table17357[[#This Row],[Fault_Time_sig]]&amp;"s"</f>
        <v>TRIP MACHINE 'WBTSG1' AT 5.2s;
TRIP MACHINE 'WBTSG2' AT 5.2s;
TRIP MACHINE 'WBTSG3' AT 5.2s;
TRIP MACHINE 'WBTSG4' AT 5.2s;
TRIP MACHINE 'WBTSG5' AT 5.2s</v>
      </c>
      <c r="AJ21" t="str">
        <f>"TRIP MACHINE 'CROW' AT "&amp;0.18+Table17357[[#This Row],[Fault_Time_sig]]&amp;"s;
TRIP MACHINE 'BULGG1' AT "&amp;0.18+Table17357[[#This Row],[Fault_Time_sig]]&amp;"s;
TRIP MACHINE 'BULGG2' AT "&amp;0.18+Table17357[[#This Row],[Fault_Time_sig]]&amp;"s;
TRIP MACHINE 'BULGBESS' AT "&amp;0.18+Table17357[[#This Row],[Fault_Time_sig]]&amp;"s"</f>
        <v>TRIP MACHINE 'CROW' AT 5.18s;
TRIP MACHINE 'BULGG1' AT 5.18s;
TRIP MACHINE 'BULGG2' AT 5.18s;
TRIP MACHINE 'BULGBESS' AT 5.18s</v>
      </c>
    </row>
    <row r="22" spans="1:36" ht="84" customHeight="1" x14ac:dyDescent="0.3">
      <c r="A22" s="9" t="s">
        <v>24</v>
      </c>
      <c r="B22" s="4" t="str">
        <f>IF(Table17357[[#This Row],[Fault_Type_sig]]=7,"Balanced Faults",IF(Table17357[[#This Row],[Fault_Type_sig]]=4,"Unbalanced Faults","Plant Trip"))</f>
        <v>Balanced Faults</v>
      </c>
      <c r="C22" s="4" t="s">
        <v>106</v>
      </c>
      <c r="D22" s="9">
        <v>21</v>
      </c>
      <c r="E22" s="9"/>
      <c r="F22" s="4" t="s">
        <v>106</v>
      </c>
      <c r="G22" s="5" t="str">
        <f t="shared" si="0"/>
        <v>SummerLow_Case2_021</v>
      </c>
      <c r="H22" s="5">
        <v>100</v>
      </c>
      <c r="I22" s="9" t="b">
        <v>1</v>
      </c>
      <c r="J22" s="9" t="b">
        <v>1</v>
      </c>
      <c r="K22" s="9">
        <v>0.12</v>
      </c>
      <c r="L22" s="9">
        <v>0.22</v>
      </c>
      <c r="M22" s="9">
        <v>0.43</v>
      </c>
      <c r="N22" s="9" t="b">
        <v>0</v>
      </c>
      <c r="O22" s="9">
        <v>3</v>
      </c>
      <c r="P22" s="9">
        <v>7</v>
      </c>
      <c r="Q22" s="9">
        <v>5</v>
      </c>
      <c r="R22" s="4">
        <f>IF(Table17357[[#This Row],[CB FAIL SCENARIO]],MAX(Table17357[[#This Row],[NEAR]:[CB FAIL]]),MAX(Table17357[[#This Row],[NEAR]:[FAR]]))</f>
        <v>0.22</v>
      </c>
      <c r="S22" s="9"/>
      <c r="T22" s="9">
        <v>0</v>
      </c>
      <c r="U22" s="9">
        <v>0</v>
      </c>
      <c r="V22" s="9">
        <v>0</v>
      </c>
      <c r="W22" s="4">
        <v>10</v>
      </c>
      <c r="X22" s="4">
        <v>0.01</v>
      </c>
      <c r="Y22" s="9" t="b">
        <v>1</v>
      </c>
      <c r="Z22" s="9" t="b">
        <v>1</v>
      </c>
      <c r="AA22" s="17" t="str">
        <f>"0, AT "&amp;(Table17357[[#This Row],[Fault_Time_sig]])&amp;"s ↑ 1, at "&amp;(Table17357[[#This Row],[Fault_Time_sig]]+Table17357[[#This Row],[Fault_Duration_sig]])&amp;"s ↓ 0"</f>
        <v>0, AT 5s ↑ 1, at 5.22s ↓ 0</v>
      </c>
      <c r="AB22" s="13" t="str">
        <f>"TRIP BRANCH 'ELD220_THO220|NEAR' AT "&amp;Table17357[[#This Row],[NEAR]]+Table17357[[#This Row],[Fault_Time_sig]]&amp;"s;
TRIP BRANCH 'ELD220_THO220|FAR' AT "&amp;Table17357[[#This Row],[FAR]]+Table17357[[#This Row],[Fault_Time_sig]]&amp;"s;
APPLY FAULT TO BRANCH 'ELD220_THO220'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'ELD220_THO220|NEAR' AT 5.12s;
TRIP BRANCH 'ELD220_THO220|FAR' AT 5.22s;
APPLY FAULT TO BRANCH 'ELD220_THO220' AT 5s WITH TYPE=7, RF_OFFSET=0, XF_OFFSET=0, DURATION=0.22s, DISTANCE=0.01</v>
      </c>
      <c r="AC22" s="5">
        <v>20</v>
      </c>
      <c r="AD22" s="6"/>
      <c r="AE22" s="6"/>
      <c r="AF22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5.12s;
TRIP BRANCH 'BAL220_WAR220|FAR' AT 5.22s;
APPLY FAULT TO BRANCH 'BAL220_WAR220' AT 5s WITH TYPE=7, RF_OFFSET=0, XF_OFFSET=0, DURATION=0.22s, DISTANCE=0.01</v>
      </c>
      <c r="AG22" s="6"/>
    </row>
    <row r="23" spans="1:36" ht="152.4" customHeight="1" x14ac:dyDescent="0.3">
      <c r="A23" s="9" t="s">
        <v>24</v>
      </c>
      <c r="B23" s="4" t="str">
        <f>IF(Table17357[[#This Row],[Fault_Type_sig]]=7,"Balanced Faults",IF(Table17357[[#This Row],[Fault_Type_sig]]=4,"Unbalanced Faults","Plant Trip"))</f>
        <v>Balanced Faults</v>
      </c>
      <c r="C23" s="4" t="s">
        <v>106</v>
      </c>
      <c r="D23" s="9">
        <v>22</v>
      </c>
      <c r="E23" s="9"/>
      <c r="F23" s="4" t="s">
        <v>106</v>
      </c>
      <c r="G23" s="5" t="str">
        <f t="shared" si="0"/>
        <v>SummerLow_Case2_022</v>
      </c>
      <c r="H23" s="5">
        <v>100</v>
      </c>
      <c r="I23" s="9" t="b">
        <v>1</v>
      </c>
      <c r="J23" s="9" t="b">
        <v>1</v>
      </c>
      <c r="K23" s="9">
        <v>7.6999999999999999E-2</v>
      </c>
      <c r="L23" s="9">
        <v>1.087</v>
      </c>
      <c r="M23" s="9">
        <v>1.087</v>
      </c>
      <c r="N23" s="9" t="b">
        <v>1</v>
      </c>
      <c r="O23" s="9">
        <v>3</v>
      </c>
      <c r="P23" s="9">
        <v>7</v>
      </c>
      <c r="Q23" s="9">
        <v>5</v>
      </c>
      <c r="R23" s="4">
        <f>IF(Table17357[[#This Row],[CB FAIL SCENARIO]],MAX(Table17357[[#This Row],[NEAR]:[CB FAIL]]),MAX(Table17357[[#This Row],[NEAR]:[FAR]]))</f>
        <v>1.087</v>
      </c>
      <c r="S23" s="9"/>
      <c r="T23" s="9">
        <v>0</v>
      </c>
      <c r="U23" s="9">
        <v>0</v>
      </c>
      <c r="V23" s="9">
        <v>0</v>
      </c>
      <c r="W23" s="4">
        <v>10</v>
      </c>
      <c r="X23" s="4">
        <v>0.01</v>
      </c>
      <c r="Y23" s="9" t="b">
        <v>1</v>
      </c>
      <c r="Z23" s="9" t="b">
        <v>1</v>
      </c>
      <c r="AA23" s="17" t="str">
        <f>"0, AT "&amp;(Table17357[[#This Row],[Fault_Time_sig]])&amp;"s ↑ 1, at "&amp;(Table17357[[#This Row],[Fault_Time_sig]]+Table17357[[#This Row],[Fault_Duration_sig]])&amp;"s ↓ 0"</f>
        <v>0, AT 5s ↑ 1, at 6.087s ↓ 0</v>
      </c>
      <c r="AB23" s="13" t="str">
        <f>"TRIP BRANCH 'GLEN66_WAR66|NEAR' AT "&amp;Table17357[[#This Row],[NEAR]]+Table17357[[#This Row],[Fault_Time_sig]]&amp;"s;
TRIP BRANCH 'GLEN66_WAR66|FAR' AT "&amp;Table17357[[#This Row],[FAR]]+Table17357[[#This Row],[Fault_Time_sig]]&amp;"s;
APPLY FAULT TO BRANCH 'GLEN66_WAR66'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'GLEN66_WAR66|NEAR' AT 5.077s;
TRIP BRANCH 'GLEN66_WAR66|FAR' AT 6.087s;
APPLY FAULT TO BRANCH 'GLEN66_WAR66' AT 5s WITH TYPE=7, RF_OFFSET=0, XF_OFFSET=0, DURATION=1.087s, DISTANCE=0.01</v>
      </c>
      <c r="AC23" s="5">
        <v>20</v>
      </c>
      <c r="AD23" s="6"/>
      <c r="AE23" s="6"/>
      <c r="AF23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5.077s;
TRIP BRANCH 'BAL220_WAR220|FAR' AT 6.087s;
APPLY FAULT TO BRANCH 'BAL220_WAR220' AT 5s WITH TYPE=7, RF_OFFSET=0, XF_OFFSET=0, DURATION=1.087s, DISTANCE=0.01</v>
      </c>
      <c r="AG23" s="6"/>
    </row>
    <row r="24" spans="1:36" ht="85.8" customHeight="1" x14ac:dyDescent="0.3">
      <c r="A24" s="9" t="s">
        <v>24</v>
      </c>
      <c r="B24" s="4" t="str">
        <f>IF(Table17357[[#This Row],[Fault_Type_sig]]=7,"Balanced Faults",IF(Table17357[[#This Row],[Fault_Type_sig]]=4,"Unbalanced Faults","Plant Trip"))</f>
        <v>Balanced Faults</v>
      </c>
      <c r="C24" s="4" t="s">
        <v>106</v>
      </c>
      <c r="D24" s="9">
        <v>23</v>
      </c>
      <c r="E24" s="9"/>
      <c r="F24" s="4" t="s">
        <v>106</v>
      </c>
      <c r="G24" s="5" t="str">
        <f t="shared" si="0"/>
        <v>SummerLow_Case2_023</v>
      </c>
      <c r="H24" s="5">
        <v>100</v>
      </c>
      <c r="I24" s="9" t="b">
        <v>1</v>
      </c>
      <c r="J24" s="9" t="b">
        <v>1</v>
      </c>
      <c r="K24" s="9">
        <v>0.14000000000000001</v>
      </c>
      <c r="L24" s="9">
        <v>0.54</v>
      </c>
      <c r="M24" s="9"/>
      <c r="N24" s="9" t="b">
        <v>0</v>
      </c>
      <c r="O24" s="9">
        <v>3</v>
      </c>
      <c r="P24" s="9">
        <v>7</v>
      </c>
      <c r="Q24" s="9">
        <v>5</v>
      </c>
      <c r="R24" s="4">
        <f>IF(Table17357[[#This Row],[CB FAIL SCENARIO]],MAX(Table17357[[#This Row],[NEAR]:[CB FAIL]]),MAX(Table17357[[#This Row],[NEAR]:[FAR]]))</f>
        <v>0.54</v>
      </c>
      <c r="S24" s="9"/>
      <c r="T24" s="9">
        <v>0</v>
      </c>
      <c r="U24" s="9">
        <v>0</v>
      </c>
      <c r="V24" s="9">
        <v>0</v>
      </c>
      <c r="W24" s="4">
        <v>10</v>
      </c>
      <c r="X24" s="4">
        <v>0.99</v>
      </c>
      <c r="Y24" s="9" t="b">
        <v>1</v>
      </c>
      <c r="Z24" s="9" t="b">
        <v>1</v>
      </c>
      <c r="AA24" s="17" t="str">
        <f>"0, AT "&amp;(Table17357[[#This Row],[Fault_Time_sig]])&amp;"s ↑ 1, at "&amp;(Table17357[[#This Row],[Fault_Time_sig]]+Table17357[[#This Row],[Fault_Duration_sig]])&amp;"s ↓ 0"</f>
        <v>0, AT 5s ↑ 1, at 5.54s ↓ 0</v>
      </c>
      <c r="AB24" s="13" t="str">
        <f>"TRIP BRANCH 'NUR66_SHEP66|NEAR' AT "&amp;Table17357[[#This Row],[NEAR]]+Table17357[[#This Row],[Fault_Time_sig]]&amp;"s;
TRIP BRANCH 'NUR66_SHEP66|FAR' AT "&amp;Table17357[[#This Row],[FAR]]+Table17357[[#This Row],[Fault_Time_sig]]&amp;"s;
APPLY FAULT TO BRANCH 'NUR66_SHEP66'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'NUR66_SHEP66|NEAR' AT 5.14s;
TRIP BRANCH 'NUR66_SHEP66|FAR' AT 5.54s;
APPLY FAULT TO BRANCH 'NUR66_SHEP66' AT 5s WITH TYPE=7, RF_OFFSET=0, XF_OFFSET=0, DURATION=0.54s, DISTANCE=0.99</v>
      </c>
      <c r="AC24" s="5">
        <v>20</v>
      </c>
      <c r="AD24" s="6"/>
      <c r="AE24" s="6"/>
      <c r="AF24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5.14s;
TRIP BRANCH 'BAL220_WAR220|FAR' AT 5.54s;
APPLY FAULT TO BRANCH 'BAL220_WAR220' AT 5s WITH TYPE=7, RF_OFFSET=0, XF_OFFSET=0, DURATION=0.54s, DISTANCE=0.99</v>
      </c>
      <c r="AG24" s="6"/>
    </row>
    <row r="25" spans="1:36" ht="114.6" customHeight="1" x14ac:dyDescent="0.3">
      <c r="A25" s="4" t="s">
        <v>24</v>
      </c>
      <c r="B25" s="4" t="str">
        <f>IF(Table17357[[#This Row],[Fault_Type_sig]]=7,"Balanced Faults",IF(Table17357[[#This Row],[Fault_Type_sig]]=4,"Unbalanced Faults","Plant Trip"))</f>
        <v>Unbalanced Faults</v>
      </c>
      <c r="C25" s="4" t="s">
        <v>106</v>
      </c>
      <c r="D25" s="4">
        <v>24</v>
      </c>
      <c r="E25" s="4"/>
      <c r="F25" s="4" t="s">
        <v>106</v>
      </c>
      <c r="G25" s="5" t="str">
        <f t="shared" si="0"/>
        <v>SummerLow_Case2_024</v>
      </c>
      <c r="H25" s="5">
        <v>100</v>
      </c>
      <c r="I25" s="4" t="b">
        <v>1</v>
      </c>
      <c r="J25" s="4" t="b">
        <v>1</v>
      </c>
      <c r="K25" s="4">
        <v>0.12</v>
      </c>
      <c r="L25" s="4">
        <v>0.22</v>
      </c>
      <c r="M25" s="4"/>
      <c r="N25" s="9" t="b">
        <v>0</v>
      </c>
      <c r="O25" s="4">
        <v>3</v>
      </c>
      <c r="P25" s="4">
        <v>4</v>
      </c>
      <c r="Q25" s="4">
        <v>5</v>
      </c>
      <c r="R25" s="4">
        <f>IF(Table17357[[#This Row],[CB FAIL SCENARIO]],MAX(Table17357[[#This Row],[NEAR]:[CB FAIL]]),MAX(Table17357[[#This Row],[NEAR]:[FAR]]))</f>
        <v>0.22</v>
      </c>
      <c r="S25" s="4"/>
      <c r="T25" s="4">
        <v>0</v>
      </c>
      <c r="U25" s="4">
        <v>0</v>
      </c>
      <c r="V25" s="4">
        <v>0</v>
      </c>
      <c r="W25" s="4">
        <v>10</v>
      </c>
      <c r="X25" s="4">
        <v>0.99</v>
      </c>
      <c r="Y25" s="4" t="b">
        <v>1</v>
      </c>
      <c r="Z25" s="4" t="b">
        <v>1</v>
      </c>
      <c r="AA25" s="4" t="str">
        <f>"0, AT "&amp;(Table17357[[#This Row],[Fault_Time_sig]])&amp;"s ↑ 1, at "&amp;(Table17357[[#This Row],[Fault_Time_sig]]+Table17357[[#This Row],[Fault_Duration_sig]])&amp;"s ↓ 0"</f>
        <v>0, AT 5s ↑ 1, at 5.22s ↓ 0</v>
      </c>
      <c r="AB25" s="12" t="str">
        <f>"TRIP BRANCH 'SHTS220_GESF220|NEAR' AT "&amp;Table17357[[#This Row],[NEAR]]+Table17357[[#This Row],[Fault_Time_sig]]&amp;"s;
TRIP BRANCH 'SHTS220_GESF220|FAR' AT "&amp;Table17357[[#This Row],[FAR]]+Table17357[[#This Row],[Fault_Time_sig]]&amp;"s;
APPLY FAULT TO BRANCH 'SHTS220_GESF220'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'SHTS220_GESF220|NEAR' AT 5.12s;
TRIP BRANCH 'SHTS220_GESF220|FAR' AT 5.22s;
APPLY FAULT TO BRANCH 'SHTS220_GESF220' AT 5s WITH TYPE=4, RF_OFFSET=0, XF_OFFSET=0, DURATION=0.22s, DISTANCE=0.99</v>
      </c>
      <c r="AC25" s="5">
        <v>20</v>
      </c>
      <c r="AD25" s="6"/>
      <c r="AE25" s="6"/>
      <c r="AF25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5.12s;
TRIP BRANCH 'BAL220_WAR220|FAR' AT 5.22s;
APPLY FAULT TO BRANCH 'BAL220_WAR220' AT 5s WITH TYPE=4, RF_OFFSET=0, XF_OFFSET=0, DURATION=0.22s, DISTANCE=0.99</v>
      </c>
      <c r="AG25" s="6"/>
    </row>
    <row r="26" spans="1:36" ht="72" customHeight="1" x14ac:dyDescent="0.3">
      <c r="A26" s="9" t="s">
        <v>24</v>
      </c>
      <c r="B26" s="4" t="str">
        <f>IF(Table17357[[#This Row],[Fault_Type_sig]]=7,"Balanced Faults",IF(Table17357[[#This Row],[Fault_Type_sig]]=4,"Unbalanced Faults","Plant Trip"))</f>
        <v>Unbalanced Faults</v>
      </c>
      <c r="C26" s="4" t="s">
        <v>106</v>
      </c>
      <c r="D26" s="9">
        <v>25</v>
      </c>
      <c r="E26" s="9"/>
      <c r="F26" s="4" t="s">
        <v>106</v>
      </c>
      <c r="G26" s="5" t="str">
        <f t="shared" si="0"/>
        <v>SummerLow_Case2_025</v>
      </c>
      <c r="H26" s="5">
        <v>100</v>
      </c>
      <c r="I26" s="9" t="b">
        <v>1</v>
      </c>
      <c r="J26" s="9" t="b">
        <v>1</v>
      </c>
      <c r="K26" s="9">
        <v>0.12</v>
      </c>
      <c r="L26" s="9">
        <v>0.22</v>
      </c>
      <c r="M26" s="9"/>
      <c r="N26" s="9" t="b">
        <v>0</v>
      </c>
      <c r="O26" s="9">
        <v>3</v>
      </c>
      <c r="P26" s="4">
        <v>4</v>
      </c>
      <c r="Q26" s="9">
        <v>5</v>
      </c>
      <c r="R26" s="4">
        <f>IF(Table17357[[#This Row],[CB FAIL SCENARIO]],MAX(Table17357[[#This Row],[NEAR]:[CB FAIL]]),MAX(Table17357[[#This Row],[NEAR]:[FAR]]))</f>
        <v>0.22</v>
      </c>
      <c r="S26" s="9"/>
      <c r="T26" s="9">
        <v>0</v>
      </c>
      <c r="U26" s="9">
        <v>0</v>
      </c>
      <c r="V26" s="9">
        <v>0</v>
      </c>
      <c r="W26" s="4">
        <v>10</v>
      </c>
      <c r="X26" s="4">
        <v>0.01</v>
      </c>
      <c r="Y26" s="9" t="b">
        <v>1</v>
      </c>
      <c r="Z26" s="9" t="b">
        <v>1</v>
      </c>
      <c r="AA26" s="17" t="str">
        <f>"0, AT "&amp;(Table17357[[#This Row],[Fault_Time_sig]])&amp;"s ↑ 1, at "&amp;(Table17357[[#This Row],[Fault_Time_sig]]+Table17357[[#This Row],[Fault_Duration_sig]])&amp;"s ↓ 0"</f>
        <v>0, AT 5s ↑ 1, at 5.22s ↓ 0</v>
      </c>
      <c r="AB26" s="14" t="str">
        <f>"TRIP BRANCH 'SHTS220_GESF220|NEAR' AT "&amp;Table17357[[#This Row],[NEAR]]+Table17357[[#This Row],[Fault_Time_sig]]&amp;"s;
TRIP BRANCH 'SHTS220_GESF220|FAR' AT "&amp;Table17357[[#This Row],[FAR]]+Table17357[[#This Row],[Fault_Time_sig]]&amp;"s;
RESTORE BRANCH 'SHTS220_GESF220|NEAR' AT "&amp;Table17357[[#This Row],[NEAR]]+Table17357[[#This Row],[RECLOSE]]+Table17357[[#This Row],[Fault_Time_sig]]&amp;"s;
RESTORE BRANCH 'SHTS220_GESF220|FAR' AT "&amp;Table17357[[#This Row],[NEAR]]+Table17357[[#This Row],[RECLOSE]]+Table17357[[#This Row],[Fault_Time_sig]]&amp;"s;
APPLY FAULT TO BRANCH 'SHTS220_GESF220'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'SHTS220_GESF220|NEAR' AT 5.12s;
TRIP BRANCH 'SHTS220_GESF220|FAR' AT 5.22s;
RESTORE BRANCH 'SHTS220_GESF220|NEAR' AT 8.12s;
RESTORE BRANCH 'SHTS220_GESF220|FAR' AT 8.12s;
APPLY FAULT TO BRANCH 'SHTS220_GESF220' AT 5s WITH TYPE=4, RF_OFFSET=0, XF_OFFSET=0, DURATION=0.22s, DISTANCE=0.01</v>
      </c>
      <c r="AC26" s="5">
        <v>20</v>
      </c>
      <c r="AD26" s="11"/>
      <c r="AE26" s="11"/>
      <c r="AF26" s="1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5.12s;
TRIP BRANCH 'BAL220_WAR220|FAR' AT 5.22s;
APPLY FAULT TO BRANCH 'BAL220_WAR220' AT 5s WITH TYPE=4, RF_OFFSET=0, XF_OFFSET=0, DURATION=0.22s, DISTANCE=0.01</v>
      </c>
      <c r="AG26" s="16"/>
    </row>
    <row r="27" spans="1:36" ht="43.2" customHeight="1" x14ac:dyDescent="0.3">
      <c r="A27" s="9" t="s">
        <v>24</v>
      </c>
      <c r="B27" s="4" t="str">
        <f>IF(Table17357[[#This Row],[Fault_Type_sig]]=7,"Balanced Faults",IF(Table17357[[#This Row],[Fault_Type_sig]]=4,"Unbalanced Faults","Plant Trip"))</f>
        <v>Unbalanced Faults</v>
      </c>
      <c r="C27" s="4" t="s">
        <v>106</v>
      </c>
      <c r="D27" s="4">
        <v>26</v>
      </c>
      <c r="E27" s="9"/>
      <c r="F27" s="4" t="s">
        <v>106</v>
      </c>
      <c r="G27" s="5" t="str">
        <f t="shared" si="0"/>
        <v>SummerLow_Case2_026</v>
      </c>
      <c r="H27" s="5">
        <v>100</v>
      </c>
      <c r="I27" s="9" t="b">
        <v>1</v>
      </c>
      <c r="J27" s="9" t="b">
        <v>1</v>
      </c>
      <c r="K27" s="9">
        <v>0.12</v>
      </c>
      <c r="L27" s="9">
        <v>0.22</v>
      </c>
      <c r="M27" s="9"/>
      <c r="N27" s="9" t="b">
        <v>0</v>
      </c>
      <c r="O27" s="9">
        <v>3</v>
      </c>
      <c r="P27" s="4">
        <v>4</v>
      </c>
      <c r="Q27" s="9">
        <v>5</v>
      </c>
      <c r="R27" s="4">
        <f>IF(Table17357[[#This Row],[CB FAIL SCENARIO]],MAX(Table17357[[#This Row],[NEAR]:[CB FAIL]]),MAX(Table17357[[#This Row],[NEAR]:[FAR]]))</f>
        <v>0.22</v>
      </c>
      <c r="S27" s="9"/>
      <c r="T27" s="9">
        <v>0</v>
      </c>
      <c r="U27" s="9">
        <v>0</v>
      </c>
      <c r="V27" s="9">
        <v>0</v>
      </c>
      <c r="W27" s="4">
        <v>10</v>
      </c>
      <c r="X27" s="4">
        <v>0.99</v>
      </c>
      <c r="Y27" s="9" t="b">
        <v>1</v>
      </c>
      <c r="Z27" s="9" t="b">
        <v>1</v>
      </c>
      <c r="AA27" s="17" t="str">
        <f>"0, AT "&amp;(Table17357[[#This Row],[Fault_Time_sig]])&amp;"s ↑ 1, at "&amp;(Table17357[[#This Row],[Fault_Time_sig]]+Table17357[[#This Row],[Fault_Duration_sig]])&amp;"s ↓ 0"</f>
        <v>0, AT 5s ↑ 1, at 5.22s ↓ 0</v>
      </c>
      <c r="AB27" s="14" t="str">
        <f>"TRIP BRANCH 'DED220_GESF220|NEAR' AT "&amp;Table17357[[#This Row],[NEAR]]+Table17357[[#This Row],[Fault_Time_sig]]&amp;"s;
TRIP BRANCH 'DED220_GESF220|FAR' AT "&amp;Table17357[[#This Row],[FAR]]+Table17357[[#This Row],[Fault_Time_sig]]&amp;"s;
APPLY FAULT TO BRANCH 'DED220_GESF220'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'DED220_GESF220|NEAR' AT 5.12s;
TRIP BRANCH 'DED220_GESF220|FAR' AT 5.22s;
APPLY FAULT TO BRANCH 'DED220_GESF220' AT 5s WITH TYPE=4, RF_OFFSET=0, XF_OFFSET=0, DURATION=0.22s, DISTANCE=0.99</v>
      </c>
      <c r="AC27" s="5">
        <v>20</v>
      </c>
      <c r="AD27" s="11"/>
      <c r="AE27" s="11"/>
      <c r="AF27" s="1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5.12s;
TRIP BRANCH 'BAL220_WAR220|FAR' AT 5.22s;
APPLY FAULT TO BRANCH 'BAL220_WAR220' AT 5s WITH TYPE=4, RF_OFFSET=0, XF_OFFSET=0, DURATION=0.22s, DISTANCE=0.99</v>
      </c>
      <c r="AG27" s="16"/>
    </row>
    <row r="28" spans="1:36" ht="43.2" customHeight="1" x14ac:dyDescent="0.3">
      <c r="A28" s="9" t="s">
        <v>24</v>
      </c>
      <c r="B28" s="4" t="str">
        <f>IF(Table17357[[#This Row],[Fault_Type_sig]]=7,"Balanced Faults",IF(Table17357[[#This Row],[Fault_Type_sig]]=4,"Unbalanced Faults","Plant Trip"))</f>
        <v>Unbalanced Faults</v>
      </c>
      <c r="C28" s="4" t="s">
        <v>106</v>
      </c>
      <c r="D28" s="9">
        <v>27</v>
      </c>
      <c r="E28" s="9"/>
      <c r="F28" s="4" t="s">
        <v>106</v>
      </c>
      <c r="G28" s="5" t="str">
        <f t="shared" si="0"/>
        <v>SummerLow_Case2_027</v>
      </c>
      <c r="H28" s="5">
        <v>100</v>
      </c>
      <c r="I28" s="9" t="b">
        <v>1</v>
      </c>
      <c r="J28" s="9" t="b">
        <v>1</v>
      </c>
      <c r="K28" s="9">
        <v>0.8</v>
      </c>
      <c r="L28" s="9">
        <v>0.1</v>
      </c>
      <c r="M28" s="9"/>
      <c r="N28" s="9" t="b">
        <v>0</v>
      </c>
      <c r="O28" s="9">
        <v>3</v>
      </c>
      <c r="P28" s="4">
        <v>4</v>
      </c>
      <c r="Q28" s="9">
        <v>5</v>
      </c>
      <c r="R28" s="4">
        <f>IF(Table17357[[#This Row],[CB FAIL SCENARIO]],MAX(Table17357[[#This Row],[NEAR]:[CB FAIL]]),MAX(Table17357[[#This Row],[NEAR]:[FAR]]))</f>
        <v>0.8</v>
      </c>
      <c r="S28" s="9"/>
      <c r="T28" s="9">
        <v>0</v>
      </c>
      <c r="U28" s="9">
        <v>0</v>
      </c>
      <c r="V28" s="9">
        <v>0</v>
      </c>
      <c r="W28" s="4">
        <v>10</v>
      </c>
      <c r="X28" s="4">
        <v>0.99</v>
      </c>
      <c r="Y28" s="9" t="b">
        <v>1</v>
      </c>
      <c r="Z28" s="9" t="b">
        <v>1</v>
      </c>
      <c r="AA28" s="17" t="str">
        <f>"0, AT "&amp;(Table17357[[#This Row],[Fault_Time_sig]])&amp;"s ↑ 1, at "&amp;(Table17357[[#This Row],[Fault_Time_sig]]+Table17357[[#This Row],[Fault_Duration_sig]])&amp;"s ↓ 0"</f>
        <v>0, AT 5s ↑ 1, at 5.8s ↓ 0</v>
      </c>
      <c r="AB28" s="14" t="str">
        <f>"TRIP BRANCH 'KE500_SM500|NEAR' AT "&amp;Table17357[[#This Row],[NEAR]]+Table17357[[#This Row],[Fault_Time_sig]]&amp;"s;
TRIP BRANCH 'KE500_SM500|FAR' AT "&amp;Table17357[[#This Row],[FAR]]+Table17357[[#This Row],[Fault_Time_sig]]&amp;"s;
RESTORE BRANCH 'KE500_SM500|NEAR' AT "&amp;Table17357[[#This Row],[NEAR]]+Table17357[[#This Row],[RECLOSE]]+Table17357[[#This Row],[Fault_Time_sig]]&amp;"s;
RESTORE BRANCH 'KE500_SM500|FAR' AT "&amp;Table17357[[#This Row],[NEAR]]+Table17357[[#This Row],[RECLOSE]]+Table17357[[#This Row],[Fault_Time_sig]]&amp;"s;
APPLY FAULT TO BRANCH 'KE500_SM500'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'KE500_SM500|NEAR' AT 5.8s;
TRIP BRANCH 'KE500_SM500|FAR' AT 5.1s;
RESTORE BRANCH 'KE500_SM500|NEAR' AT 8.8s;
RESTORE BRANCH 'KE500_SM500|FAR' AT 8.8s;
APPLY FAULT TO BRANCH 'KE500_SM500' AT 5s WITH TYPE=4, RF_OFFSET=0, XF_OFFSET=0, DURATION=0.8s, DISTANCE=0.99</v>
      </c>
      <c r="AC28" s="5">
        <v>20</v>
      </c>
      <c r="AD28" s="11"/>
      <c r="AE28" s="11"/>
      <c r="AF28" s="1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5.8s;
TRIP BRANCH 'BAL220_WAR220|FAR' AT 5.1s;
APPLY FAULT TO BRANCH 'BAL220_WAR220' AT 5s WITH TYPE=4, RF_OFFSET=0, XF_OFFSET=0, DURATION=0.8s, DISTANCE=0.99</v>
      </c>
      <c r="AG28" s="16"/>
    </row>
    <row r="29" spans="1:36" ht="43.2" customHeight="1" x14ac:dyDescent="0.3">
      <c r="A29" s="9" t="s">
        <v>24</v>
      </c>
      <c r="B29" s="4" t="str">
        <f>IF(Table17357[[#This Row],[Fault_Type_sig]]=7,"Balanced Faults",IF(Table17357[[#This Row],[Fault_Type_sig]]=4,"Unbalanced Faults","Plant Trip"))</f>
        <v>Unbalanced Faults</v>
      </c>
      <c r="C29" s="4" t="s">
        <v>106</v>
      </c>
      <c r="D29" s="4">
        <v>28</v>
      </c>
      <c r="E29" s="9"/>
      <c r="F29" s="4" t="s">
        <v>106</v>
      </c>
      <c r="G29" s="5" t="str">
        <f t="shared" si="0"/>
        <v>SummerLow_Case2_028</v>
      </c>
      <c r="H29" s="5">
        <v>100</v>
      </c>
      <c r="I29" s="9" t="b">
        <v>1</v>
      </c>
      <c r="J29" s="9" t="b">
        <v>1</v>
      </c>
      <c r="K29" s="9">
        <v>0.1</v>
      </c>
      <c r="L29" s="9">
        <v>0.12</v>
      </c>
      <c r="M29" s="9"/>
      <c r="N29" s="9" t="b">
        <v>0</v>
      </c>
      <c r="O29" s="9">
        <v>3</v>
      </c>
      <c r="P29" s="4">
        <v>4</v>
      </c>
      <c r="Q29" s="9">
        <v>5</v>
      </c>
      <c r="R29" s="4">
        <f>IF(Table17357[[#This Row],[CB FAIL SCENARIO]],MAX(Table17357[[#This Row],[NEAR]:[CB FAIL]]),MAX(Table17357[[#This Row],[NEAR]:[FAR]]))</f>
        <v>0.12</v>
      </c>
      <c r="S29" s="9"/>
      <c r="T29" s="9">
        <v>0</v>
      </c>
      <c r="U29" s="9">
        <v>0</v>
      </c>
      <c r="V29" s="9">
        <v>0</v>
      </c>
      <c r="W29" s="4">
        <v>10</v>
      </c>
      <c r="X29" s="4">
        <v>0.01</v>
      </c>
      <c r="Y29" s="9" t="b">
        <v>1</v>
      </c>
      <c r="Z29" s="9" t="b">
        <v>1</v>
      </c>
      <c r="AA29" s="17" t="str">
        <f>"0, AT "&amp;(Table17357[[#This Row],[Fault_Time_sig]])&amp;"s ↑ 1, at "&amp;(Table17357[[#This Row],[Fault_Time_sig]]+Table17357[[#This Row],[Fault_Duration_sig]])&amp;"s ↓ 0"</f>
        <v>0, AT 5s ↑ 1, at 5.12s ↓ 0</v>
      </c>
      <c r="AB29" s="14" t="str">
        <f>"TRIP BRANCH 'DE330_WO330|NEAR' AT "&amp;Table17357[[#This Row],[NEAR]]+Table17357[[#This Row],[Fault_Time_sig]]&amp;"s;
TRIP BRANCH 'DE330_WO330|FAR' AT "&amp;Table17357[[#This Row],[FAR]]+Table17357[[#This Row],[Fault_Time_sig]]&amp;"s;
APPLY FAULT TO BRANCH 'DE330_WO330'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'DE330_WO330|NEAR' AT 5.1s;
TRIP BRANCH 'DE330_WO330|FAR' AT 5.12s;
APPLY FAULT TO BRANCH 'DE330_WO330' AT 5s WITH TYPE=4, RF_OFFSET=0, XF_OFFSET=0, DURATION=0.12s, DISTANCE=0.01</v>
      </c>
      <c r="AC29" s="5">
        <v>20</v>
      </c>
      <c r="AD29" s="11"/>
      <c r="AE29" s="11"/>
      <c r="AF29" s="1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5.1s;
TRIP BRANCH 'BAL220_WAR220|FAR' AT 5.12s;
APPLY FAULT TO BRANCH 'BAL220_WAR220' AT 5s WITH TYPE=4, RF_OFFSET=0, XF_OFFSET=0, DURATION=0.12s, DISTANCE=0.01</v>
      </c>
      <c r="AG29" s="16"/>
    </row>
    <row r="30" spans="1:36" ht="43.2" customHeight="1" x14ac:dyDescent="0.3">
      <c r="A30" s="9" t="s">
        <v>24</v>
      </c>
      <c r="B30" s="4" t="str">
        <f>IF(Table17357[[#This Row],[Fault_Type_sig]]=7,"Balanced Faults",IF(Table17357[[#This Row],[Fault_Type_sig]]=4,"Unbalanced Faults","Plant Trip"))</f>
        <v>Unbalanced Faults</v>
      </c>
      <c r="C30" s="4" t="s">
        <v>106</v>
      </c>
      <c r="D30" s="9">
        <v>29</v>
      </c>
      <c r="E30" s="9"/>
      <c r="F30" s="4" t="s">
        <v>106</v>
      </c>
      <c r="G30" s="5" t="str">
        <f t="shared" si="0"/>
        <v>SummerLow_Case2_029</v>
      </c>
      <c r="H30" s="5">
        <v>100</v>
      </c>
      <c r="I30" s="9" t="b">
        <v>1</v>
      </c>
      <c r="J30" s="9" t="b">
        <v>1</v>
      </c>
      <c r="K30" s="9">
        <v>0.1</v>
      </c>
      <c r="L30" s="9">
        <v>0.12</v>
      </c>
      <c r="M30" s="9"/>
      <c r="N30" s="9" t="b">
        <v>0</v>
      </c>
      <c r="O30" s="9">
        <v>3</v>
      </c>
      <c r="P30" s="4">
        <v>4</v>
      </c>
      <c r="Q30" s="9">
        <v>5</v>
      </c>
      <c r="R30" s="4">
        <f>IF(Table17357[[#This Row],[CB FAIL SCENARIO]],MAX(Table17357[[#This Row],[NEAR]:[CB FAIL]]),MAX(Table17357[[#This Row],[NEAR]:[FAR]]))</f>
        <v>0.12</v>
      </c>
      <c r="S30" s="9"/>
      <c r="T30" s="9">
        <v>0</v>
      </c>
      <c r="U30" s="9">
        <v>0</v>
      </c>
      <c r="V30" s="9">
        <v>0</v>
      </c>
      <c r="W30" s="4">
        <v>10</v>
      </c>
      <c r="X30" s="4">
        <v>0.99</v>
      </c>
      <c r="Y30" s="9" t="b">
        <v>1</v>
      </c>
      <c r="Z30" s="9" t="b">
        <v>1</v>
      </c>
      <c r="AA30" s="17" t="str">
        <f>"0, AT "&amp;(Table17357[[#This Row],[Fault_Time_sig]])&amp;"s ↑ 1, at "&amp;(Table17357[[#This Row],[Fault_Time_sig]]+Table17357[[#This Row],[Fault_Duration_sig]])&amp;"s ↓ 0"</f>
        <v>0, AT 5s ↑ 1, at 5.12s ↓ 0</v>
      </c>
      <c r="AB30" s="14" t="str">
        <f>"TRIP BRANCH 'DE330_WO330|NEAR' AT "&amp;Table17357[[#This Row],[NEAR]]+Table17357[[#This Row],[Fault_Time_sig]]&amp;"s;
TRIP BRANCH 'DE330_WO330|FAR' AT "&amp;Table17357[[#This Row],[FAR]]+Table17357[[#This Row],[Fault_Time_sig]]&amp;"s;
RESTORE BRANCH 'DE330_WO330|NEAR' AT "&amp;Table17357[[#This Row],[NEAR]]+Table17357[[#This Row],[RECLOSE]]+Table17357[[#This Row],[Fault_Time_sig]]&amp;"s;
RESTORE BRANCH 'DE330_WO330|FAR' AT "&amp;Table17357[[#This Row],[NEAR]]+Table17357[[#This Row],[RECLOSE]]+Table17357[[#This Row],[Fault_Time_sig]]&amp;"s;
APPLY FAULT TO BRANCH 'DE330_WO330' AT "&amp;Table17357[[#This Row],[Fault_Time_sig]]&amp;"s WITH "
&amp;"TYPE="&amp;Table17357[[#This Row],[Fault_Type_sig]]
&amp;IF(Table17357[[#This Row],[Fault_Duration_sig]]="","",", DURATION="&amp;Table17357[[#This Row],[Fault_Duration_sig]]&amp;"s")
&amp;IF(Table17357[[#This Row],[Distance]]="","",", DISTANCE="&amp;Table17357[[#This Row],[Distance]])</f>
        <v>TRIP BRANCH 'DE330_WO330|NEAR' AT 5.1s;
TRIP BRANCH 'DE330_WO330|FAR' AT 5.12s;
RESTORE BRANCH 'DE330_WO330|NEAR' AT 8.1s;
RESTORE BRANCH 'DE330_WO330|FAR' AT 8.1s;
APPLY FAULT TO BRANCH 'DE330_WO330' AT 5s WITH TYPE=4, DURATION=0.12s, DISTANCE=0.99</v>
      </c>
      <c r="AC30" s="5">
        <v>20</v>
      </c>
      <c r="AD30" s="6"/>
      <c r="AE30" s="6"/>
      <c r="AF30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5.1s;
TRIP BRANCH 'BAL220_WAR220|FAR' AT 5.12s;
APPLY FAULT TO BRANCH 'BAL220_WAR220' AT 5s WITH TYPE=4, RF_OFFSET=0, XF_OFFSET=0, DURATION=0.12s, DISTANCE=0.99</v>
      </c>
      <c r="AG30" s="6"/>
    </row>
    <row r="31" spans="1:36" ht="70.8" customHeight="1" x14ac:dyDescent="0.3">
      <c r="A31" s="9" t="s">
        <v>24</v>
      </c>
      <c r="B31" s="4" t="str">
        <f>IF(Table17357[[#This Row],[Fault_Type_sig]]=7,"Balanced Faults",IF(Table17357[[#This Row],[Fault_Type_sig]]=4,"Unbalanced Faults","Plant Trip"))</f>
        <v>Unbalanced Faults</v>
      </c>
      <c r="C31" s="4" t="s">
        <v>106</v>
      </c>
      <c r="D31" s="4">
        <v>30</v>
      </c>
      <c r="E31" s="9"/>
      <c r="F31" s="4" t="s">
        <v>106</v>
      </c>
      <c r="G31" s="5" t="str">
        <f t="shared" si="0"/>
        <v>SummerLow_Case2_030</v>
      </c>
      <c r="H31" s="5">
        <v>100</v>
      </c>
      <c r="I31" s="9" t="b">
        <v>1</v>
      </c>
      <c r="J31" s="9" t="b">
        <v>1</v>
      </c>
      <c r="K31" s="9">
        <v>0.1</v>
      </c>
      <c r="L31" s="9">
        <v>0.12</v>
      </c>
      <c r="M31" s="9"/>
      <c r="N31" s="9" t="b">
        <v>0</v>
      </c>
      <c r="O31" s="9">
        <v>3</v>
      </c>
      <c r="P31" s="4">
        <v>4</v>
      </c>
      <c r="Q31" s="9">
        <v>5</v>
      </c>
      <c r="R31" s="4">
        <f>IF(Table17357[[#This Row],[CB FAIL SCENARIO]],MAX(Table17357[[#This Row],[NEAR]:[CB FAIL]]),MAX(Table17357[[#This Row],[NEAR]:[FAR]]))</f>
        <v>0.12</v>
      </c>
      <c r="S31" s="9"/>
      <c r="T31" s="9">
        <v>0</v>
      </c>
      <c r="U31" s="9">
        <v>0</v>
      </c>
      <c r="V31" s="9">
        <v>0</v>
      </c>
      <c r="W31" s="4">
        <v>10</v>
      </c>
      <c r="X31" s="4">
        <v>0.99</v>
      </c>
      <c r="Y31" s="9" t="b">
        <v>1</v>
      </c>
      <c r="Z31" s="9" t="b">
        <v>1</v>
      </c>
      <c r="AA31" s="17" t="str">
        <f>"0, AT "&amp;(Table17357[[#This Row],[Fault_Time_sig]])&amp;"s ↑ 1, at "&amp;(Table17357[[#This Row],[Fault_Time_sig]]+Table17357[[#This Row],[Fault_Duration_sig]])&amp;"s ↓ 0"</f>
        <v>0, AT 5s ↑ 1, at 5.12s ↓ 0</v>
      </c>
      <c r="AB31" s="13" t="str">
        <f>"TRIP BRANCH 'JIN330_WO330|NEAR' AT "&amp;Table17357[[#This Row],[NEAR]]+Table17357[[#This Row],[Fault_Time_sig]]&amp;"s;
TRIP BRANCH 'JIN330_WO330|FAR' AT "&amp;Table17357[[#This Row],[FAR]]+Table17357[[#This Row],[Fault_Time_sig]]&amp;"s;
RESTORE BRANCH 'JIN330_WO330|NEAR' AT "&amp;Table17357[[#This Row],[NEAR]]+Table17357[[#This Row],[RECLOSE]]+Table17357[[#This Row],[Fault_Time_sig]]&amp;"s;
RESTORE BRANCH 'JIN330_WO330|FAR' AT "&amp;Table17357[[#This Row],[NEAR]]+Table17357[[#This Row],[RECLOSE]]+Table17357[[#This Row],[Fault_Time_sig]]&amp;"s;
APPLY FAULT TO BRANCH 'JIN330_WO330'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'JIN330_WO330|NEAR' AT 5.1s;
TRIP BRANCH 'JIN330_WO330|FAR' AT 5.12s;
RESTORE BRANCH 'JIN330_WO330|NEAR' AT 8.1s;
RESTORE BRANCH 'JIN330_WO330|FAR' AT 8.1s;
APPLY FAULT TO BRANCH 'JIN330_WO330' AT 5s WITH TYPE=4, RF_OFFSET=0, XF_OFFSET=0, DURATION=0.12s, DISTANCE=0.99</v>
      </c>
      <c r="AC31" s="5">
        <v>20</v>
      </c>
      <c r="AD31" s="6"/>
      <c r="AE31" s="6"/>
      <c r="AF31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5.1s;
TRIP BRANCH 'BAL220_WAR220|FAR' AT 5.12s;
APPLY FAULT TO BRANCH 'BAL220_WAR220' AT 5s WITH TYPE=4, RF_OFFSET=0, XF_OFFSET=0, DURATION=0.12s, DISTANCE=0.99</v>
      </c>
      <c r="AG31" s="6"/>
    </row>
    <row r="32" spans="1:36" ht="43.2" customHeight="1" x14ac:dyDescent="0.3">
      <c r="A32" s="9" t="s">
        <v>24</v>
      </c>
      <c r="B32" s="4" t="str">
        <f>IF(Table17357[[#This Row],[Fault_Type_sig]]=7,"Balanced Faults",IF(Table17357[[#This Row],[Fault_Type_sig]]=4,"Unbalanced Faults","Plant Trip"))</f>
        <v>Unbalanced Faults</v>
      </c>
      <c r="C32" s="4" t="s">
        <v>106</v>
      </c>
      <c r="D32" s="9">
        <v>31</v>
      </c>
      <c r="E32" s="9"/>
      <c r="F32" s="4" t="s">
        <v>106</v>
      </c>
      <c r="G32" s="5" t="str">
        <f t="shared" si="0"/>
        <v>SummerLow_Case2_031</v>
      </c>
      <c r="H32" s="5">
        <v>100</v>
      </c>
      <c r="I32" s="9" t="b">
        <v>1</v>
      </c>
      <c r="J32" s="9" t="b">
        <v>1</v>
      </c>
      <c r="K32" s="9">
        <v>0.1</v>
      </c>
      <c r="L32" s="9">
        <v>0.12</v>
      </c>
      <c r="M32" s="9"/>
      <c r="N32" s="9" t="b">
        <v>0</v>
      </c>
      <c r="O32" s="9">
        <v>3</v>
      </c>
      <c r="P32" s="4">
        <v>4</v>
      </c>
      <c r="Q32" s="9">
        <v>5</v>
      </c>
      <c r="R32" s="4">
        <f>IF(Table17357[[#This Row],[CB FAIL SCENARIO]],MAX(Table17357[[#This Row],[NEAR]:[CB FAIL]]),MAX(Table17357[[#This Row],[NEAR]:[FAR]]))</f>
        <v>0.12</v>
      </c>
      <c r="S32" s="9"/>
      <c r="T32" s="9">
        <v>0</v>
      </c>
      <c r="U32" s="9">
        <v>0</v>
      </c>
      <c r="V32" s="9">
        <v>0</v>
      </c>
      <c r="W32" s="4">
        <v>10</v>
      </c>
      <c r="X32" s="4">
        <v>0.01</v>
      </c>
      <c r="Y32" s="9" t="b">
        <v>1</v>
      </c>
      <c r="Z32" s="9" t="b">
        <v>1</v>
      </c>
      <c r="AA32" s="17" t="str">
        <f>"0, AT "&amp;(Table17357[[#This Row],[Fault_Time_sig]])&amp;"s ↑ 1, at "&amp;(Table17357[[#This Row],[Fault_Time_sig]]+Table17357[[#This Row],[Fault_Duration_sig]])&amp;"s ↓ 0"</f>
        <v>0, AT 5s ↑ 1, at 5.12s ↓ 0</v>
      </c>
      <c r="AB32" s="13" t="str">
        <f>"TRIP BRANCH 'DED330_MUR330|NEAR' AT "&amp;Table17357[[#This Row],[NEAR]]+Table17357[[#This Row],[Fault_Time_sig]]&amp;"s;
TRIP BRANCH 'DED330_MUR330|FAR' AT "&amp;Table17357[[#This Row],[FAR]]+Table17357[[#This Row],[Fault_Time_sig]]&amp;"s;
APPLY FAULT TO BRANCH 'DED330_MUR330'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'DED330_MUR330|NEAR' AT 5.1s;
TRIP BRANCH 'DED330_MUR330|FAR' AT 5.12s;
APPLY FAULT TO BRANCH 'DED330_MUR330' AT 5s WITH TYPE=4, RF_OFFSET=0, XF_OFFSET=0, DURATION=0.12s, DISTANCE=0.01</v>
      </c>
      <c r="AC32" s="5">
        <v>20</v>
      </c>
      <c r="AD32" s="6"/>
      <c r="AE32" s="6"/>
      <c r="AF32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5.1s;
TRIP BRANCH 'BAL220_WAR220|FAR' AT 5.12s;
APPLY FAULT TO BRANCH 'BAL220_WAR220' AT 5s WITH TYPE=4, RF_OFFSET=0, XF_OFFSET=0, DURATION=0.12s, DISTANCE=0.01</v>
      </c>
      <c r="AG32" s="6"/>
    </row>
    <row r="33" spans="1:34" ht="43.2" customHeight="1" x14ac:dyDescent="0.3">
      <c r="A33" s="9" t="s">
        <v>24</v>
      </c>
      <c r="B33" s="4" t="str">
        <f>IF(Table17357[[#This Row],[Fault_Type_sig]]=7,"Balanced Faults",IF(Table17357[[#This Row],[Fault_Type_sig]]=4,"Unbalanced Faults","Plant Trip"))</f>
        <v>Unbalanced Faults</v>
      </c>
      <c r="C33" s="4" t="s">
        <v>106</v>
      </c>
      <c r="D33" s="4">
        <v>32</v>
      </c>
      <c r="E33" s="9"/>
      <c r="F33" s="4" t="s">
        <v>106</v>
      </c>
      <c r="G33" s="5" t="str">
        <f t="shared" si="0"/>
        <v>SummerLow_Case2_032</v>
      </c>
      <c r="H33" s="5">
        <v>100</v>
      </c>
      <c r="I33" s="9" t="b">
        <v>1</v>
      </c>
      <c r="J33" s="9" t="b">
        <v>1</v>
      </c>
      <c r="K33" s="9">
        <v>0.1</v>
      </c>
      <c r="L33" s="9">
        <v>0.12</v>
      </c>
      <c r="M33" s="9"/>
      <c r="N33" s="9" t="b">
        <v>0</v>
      </c>
      <c r="O33" s="9">
        <v>3</v>
      </c>
      <c r="P33" s="4">
        <v>4</v>
      </c>
      <c r="Q33" s="9">
        <v>5</v>
      </c>
      <c r="R33" s="4">
        <f>IF(Table17357[[#This Row],[CB FAIL SCENARIO]],MAX(Table17357[[#This Row],[NEAR]:[CB FAIL]]),MAX(Table17357[[#This Row],[NEAR]:[FAR]]))</f>
        <v>0.12</v>
      </c>
      <c r="S33" s="9"/>
      <c r="T33" s="9">
        <v>0</v>
      </c>
      <c r="U33" s="9">
        <v>0</v>
      </c>
      <c r="V33" s="9">
        <v>0</v>
      </c>
      <c r="W33" s="4">
        <v>10</v>
      </c>
      <c r="X33" s="4">
        <v>0.01</v>
      </c>
      <c r="Y33" s="9" t="b">
        <v>1</v>
      </c>
      <c r="Z33" s="9" t="b">
        <v>1</v>
      </c>
      <c r="AA33" s="17" t="str">
        <f>"0, AT "&amp;(Table17357[[#This Row],[Fault_Time_sig]])&amp;"s ↑ 1, at "&amp;(Table17357[[#This Row],[Fault_Time_sig]]+Table17357[[#This Row],[Fault_Duration_sig]])&amp;"s ↓ 0"</f>
        <v>0, AT 5s ↑ 1, at 5.12s ↓ 0</v>
      </c>
      <c r="AB33" s="13" t="str">
        <f>"TRIP BRANCH 'DED330_SM330|NEAR' AT "&amp;Table17357[[#This Row],[NEAR]]+Table17357[[#This Row],[Fault_Time_sig]]&amp;"s;
TRIP BRANCH 'DED330_SM330|FAR' AT "&amp;Table17357[[#This Row],[FAR]]+Table17357[[#This Row],[Fault_Time_sig]]&amp;"s;
APPLY FAULT TO BRANCH 'DED330_SM330'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'DED330_SM330|NEAR' AT 5.1s;
TRIP BRANCH 'DED330_SM330|FAR' AT 5.12s;
APPLY FAULT TO BRANCH 'DED330_SM330' AT 5s WITH TYPE=4, RF_OFFSET=0, XF_OFFSET=0, DURATION=0.12s, DISTANCE=0.01</v>
      </c>
      <c r="AC33" s="5">
        <v>20</v>
      </c>
      <c r="AD33" s="6"/>
      <c r="AE33" s="6"/>
      <c r="AF33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5.1s;
TRIP BRANCH 'BAL220_WAR220|FAR' AT 5.12s;
APPLY FAULT TO BRANCH 'BAL220_WAR220' AT 5s WITH TYPE=4, RF_OFFSET=0, XF_OFFSET=0, DURATION=0.12s, DISTANCE=0.01</v>
      </c>
      <c r="AG33" s="6"/>
    </row>
    <row r="34" spans="1:34" ht="43.2" customHeight="1" x14ac:dyDescent="0.3">
      <c r="A34" s="9" t="s">
        <v>24</v>
      </c>
      <c r="B34" s="4" t="str">
        <f>IF(Table17357[[#This Row],[Fault_Type_sig]]=7,"Balanced Faults",IF(Table17357[[#This Row],[Fault_Type_sig]]=4,"Unbalanced Faults","Plant Trip"))</f>
        <v>Unbalanced Faults</v>
      </c>
      <c r="C34" s="4" t="s">
        <v>106</v>
      </c>
      <c r="D34" s="9">
        <v>33</v>
      </c>
      <c r="E34" s="9"/>
      <c r="F34" s="4" t="s">
        <v>106</v>
      </c>
      <c r="G34" s="5" t="str">
        <f t="shared" si="0"/>
        <v>SummerLow_Case2_033</v>
      </c>
      <c r="H34" s="5">
        <v>100</v>
      </c>
      <c r="I34" s="9" t="b">
        <v>1</v>
      </c>
      <c r="J34" s="9" t="b">
        <v>1</v>
      </c>
      <c r="K34" s="9">
        <v>0.1</v>
      </c>
      <c r="L34" s="9">
        <v>0.12</v>
      </c>
      <c r="M34" s="9"/>
      <c r="N34" s="9" t="b">
        <v>0</v>
      </c>
      <c r="O34" s="9">
        <v>3</v>
      </c>
      <c r="P34" s="4">
        <v>4</v>
      </c>
      <c r="Q34" s="9">
        <v>5</v>
      </c>
      <c r="R34" s="4">
        <f>IF(Table17357[[#This Row],[CB FAIL SCENARIO]],MAX(Table17357[[#This Row],[NEAR]:[CB FAIL]]),MAX(Table17357[[#This Row],[NEAR]:[FAR]]))</f>
        <v>0.12</v>
      </c>
      <c r="S34" s="9"/>
      <c r="T34" s="9">
        <v>0</v>
      </c>
      <c r="U34" s="9">
        <v>0</v>
      </c>
      <c r="V34" s="9">
        <v>0</v>
      </c>
      <c r="W34" s="4">
        <v>10</v>
      </c>
      <c r="X34" s="4">
        <v>0.99</v>
      </c>
      <c r="Y34" s="9" t="b">
        <v>1</v>
      </c>
      <c r="Z34" s="9" t="b">
        <v>1</v>
      </c>
      <c r="AA34" s="17" t="str">
        <f>"0, AT "&amp;(Table17357[[#This Row],[Fault_Time_sig]])&amp;"s ↑ 1, at "&amp;(Table17357[[#This Row],[Fault_Time_sig]]+Table17357[[#This Row],[Fault_Duration_sig]])&amp;"s ↓ 0"</f>
        <v>0, AT 5s ↑ 1, at 5.12s ↓ 0</v>
      </c>
      <c r="AB34" s="13" t="str">
        <f>"TRIP BRANCH 'LWTM330_MUR330|NEAR' AT "&amp;Table17357[[#This Row],[NEAR]]+Table17357[[#This Row],[Fault_Time_sig]]&amp;"s;
TRIP BRANCH 'LWTM330_MUR330|FAR' AT "&amp;Table17357[[#This Row],[FAR]]+Table17357[[#This Row],[Fault_Time_sig]]&amp;"s;
APPLY FAULT TO BRANCH 'LWTM330_MUR330'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'LWTM330_MUR330|NEAR' AT 5.1s;
TRIP BRANCH 'LWTM330_MUR330|FAR' AT 5.12s;
APPLY FAULT TO BRANCH 'LWTM330_MUR330' AT 5s WITH TYPE=4, RF_OFFSET=0, XF_OFFSET=0, DURATION=0.12s, DISTANCE=0.99</v>
      </c>
      <c r="AC34" s="5">
        <v>20</v>
      </c>
      <c r="AD34" s="6"/>
      <c r="AE34" s="6"/>
      <c r="AF34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5.1s;
TRIP BRANCH 'BAL220_WAR220|FAR' AT 5.12s;
APPLY FAULT TO BRANCH 'BAL220_WAR220' AT 5s WITH TYPE=4, RF_OFFSET=0, XF_OFFSET=0, DURATION=0.12s, DISTANCE=0.99</v>
      </c>
      <c r="AG34" s="6"/>
    </row>
    <row r="35" spans="1:34" ht="43.2" customHeight="1" x14ac:dyDescent="0.3">
      <c r="A35" s="9" t="s">
        <v>24</v>
      </c>
      <c r="B35" s="4" t="str">
        <f>IF(Table17357[[#This Row],[Fault_Type_sig]]=7,"Balanced Faults",IF(Table17357[[#This Row],[Fault_Type_sig]]=4,"Unbalanced Faults","Plant Trip"))</f>
        <v>Unbalanced Faults</v>
      </c>
      <c r="C35" s="4" t="s">
        <v>106</v>
      </c>
      <c r="D35" s="4">
        <v>34</v>
      </c>
      <c r="E35" s="9"/>
      <c r="F35" s="4" t="s">
        <v>106</v>
      </c>
      <c r="G35" s="5" t="str">
        <f t="shared" si="0"/>
        <v>SummerLow_Case2_034</v>
      </c>
      <c r="H35" s="5">
        <v>100</v>
      </c>
      <c r="I35" s="9" t="b">
        <v>1</v>
      </c>
      <c r="J35" s="9" t="b">
        <v>1</v>
      </c>
      <c r="K35" s="9">
        <v>0.1</v>
      </c>
      <c r="L35" s="9">
        <v>0.12</v>
      </c>
      <c r="M35" s="9"/>
      <c r="N35" s="9" t="b">
        <v>0</v>
      </c>
      <c r="O35" s="9">
        <v>3</v>
      </c>
      <c r="P35" s="4">
        <v>4</v>
      </c>
      <c r="Q35" s="9">
        <v>5</v>
      </c>
      <c r="R35" s="4">
        <f>IF(Table17357[[#This Row],[CB FAIL SCENARIO]],MAX(Table17357[[#This Row],[NEAR]:[CB FAIL]]),MAX(Table17357[[#This Row],[NEAR]:[FAR]]))</f>
        <v>0.12</v>
      </c>
      <c r="S35" s="9"/>
      <c r="T35" s="9">
        <v>0</v>
      </c>
      <c r="U35" s="9">
        <v>0</v>
      </c>
      <c r="V35" s="9">
        <v>0</v>
      </c>
      <c r="W35" s="4">
        <v>10</v>
      </c>
      <c r="X35" s="4">
        <v>0.99</v>
      </c>
      <c r="Y35" s="9" t="b">
        <v>1</v>
      </c>
      <c r="Z35" s="9" t="b">
        <v>1</v>
      </c>
      <c r="AA35" s="17" t="str">
        <f>"0, AT "&amp;(Table17357[[#This Row],[Fault_Time_sig]])&amp;"s ↑ 1, at "&amp;(Table17357[[#This Row],[Fault_Time_sig]]+Table17357[[#This Row],[Fault_Duration_sig]])&amp;"s ↓ 0"</f>
        <v>0, AT 5s ↑ 1, at 5.12s ↓ 0</v>
      </c>
      <c r="AB35" s="13" t="str">
        <f>"TRIP BRANCH 'LWTM330_UPTM330|NEAR' AT "&amp;Table17357[[#This Row],[NEAR]]+Table17357[[#This Row],[Fault_Time_sig]]&amp;"s;
TRIP BRANCH 'LWTM330_UPTM330|FAR' AT "&amp;Table17357[[#This Row],[FAR]]+Table17357[[#This Row],[Fault_Time_sig]]&amp;"s;
APPLY FAULT TO BRANCH 'LWTM330_UPTM330'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'LWTM330_UPTM330|NEAR' AT 5.1s;
TRIP BRANCH 'LWTM330_UPTM330|FAR' AT 5.12s;
APPLY FAULT TO BRANCH 'LWTM330_UPTM330' AT 5s WITH TYPE=4, RF_OFFSET=0, XF_OFFSET=0, DURATION=0.12s, DISTANCE=0.99</v>
      </c>
      <c r="AC35" s="5">
        <v>20</v>
      </c>
      <c r="AD35" s="6"/>
      <c r="AE35" s="6"/>
      <c r="AF35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5.1s;
TRIP BRANCH 'BAL220_WAR220|FAR' AT 5.12s;
APPLY FAULT TO BRANCH 'BAL220_WAR220' AT 5s WITH TYPE=4, RF_OFFSET=0, XF_OFFSET=0, DURATION=0.12s, DISTANCE=0.99</v>
      </c>
      <c r="AG35" s="6"/>
    </row>
    <row r="36" spans="1:34" ht="219.6" customHeight="1" x14ac:dyDescent="0.3">
      <c r="A36" s="4" t="s">
        <v>24</v>
      </c>
      <c r="B36" s="4" t="str">
        <f>IF(Table17357[[#This Row],[Fault_Type_sig]]=7,"Balanced Faults",IF(Table17357[[#This Row],[Fault_Type_sig]]=4,"Unbalanced Faults","Plant Trip"))</f>
        <v>Balanced Faults</v>
      </c>
      <c r="C36" s="4" t="s">
        <v>106</v>
      </c>
      <c r="D36" s="4">
        <v>35</v>
      </c>
      <c r="E36" s="4"/>
      <c r="F36" s="4" t="s">
        <v>106</v>
      </c>
      <c r="G36" s="5" t="str">
        <f t="shared" si="0"/>
        <v>SummerLow_Case2_035</v>
      </c>
      <c r="H36" s="5">
        <v>100</v>
      </c>
      <c r="I36" s="4" t="b">
        <v>1</v>
      </c>
      <c r="J36" s="4" t="b">
        <v>1</v>
      </c>
      <c r="K36" s="4">
        <v>0.25</v>
      </c>
      <c r="L36" s="4">
        <v>0.25</v>
      </c>
      <c r="M36" s="4"/>
      <c r="N36" s="4" t="b">
        <v>0</v>
      </c>
      <c r="O36" s="4">
        <v>3</v>
      </c>
      <c r="P36" s="4">
        <v>7</v>
      </c>
      <c r="Q36" s="4">
        <v>5</v>
      </c>
      <c r="R36" s="4">
        <f>IF(Table17357[[#This Row],[CB FAIL SCENARIO]],MAX(Table17357[[#This Row],[NEAR]:[CB FAIL]]),MAX(Table17357[[#This Row],[NEAR]:[FAR]]))</f>
        <v>0.25</v>
      </c>
      <c r="S36" s="4"/>
      <c r="T36" s="4">
        <v>0</v>
      </c>
      <c r="U36" s="4">
        <v>0</v>
      </c>
      <c r="V36" s="4">
        <v>0</v>
      </c>
      <c r="W36" s="4">
        <v>10</v>
      </c>
      <c r="X36" s="4">
        <v>0.5</v>
      </c>
      <c r="Y36" s="4" t="b">
        <v>1</v>
      </c>
      <c r="Z36" s="4" t="b">
        <v>1</v>
      </c>
      <c r="AA36" s="4" t="str">
        <f>"0, AT "&amp;(Table17357[[#This Row],[Fault_Time_sig]])&amp;"s ↑ 1, at "&amp;(Table17357[[#This Row],[Fault_Time_sig]]+Table17357[[#This Row],[Fault_Duration_sig]])&amp;"s ↓ 0"</f>
        <v>0, AT 5s ↑ 1, at 5.25s ↓ 0</v>
      </c>
      <c r="AB36" s="13" t="str">
        <f>"TRIP BRANCH 'DEDTXDUMMY|NEAR' AT "&amp;Table17357[[#This Row],[NEAR]]+Table17357[[#This Row],[Fault_Time_sig]]&amp;"s;
TRIP BRANCH 'DEDTXDUMMY|FAR' AT "&amp;Table17357[[#This Row],[FAR]]+Table17357[[#This Row],[Fault_Time_sig]]&amp;"s;
RESTORE BRANCH 'DEDTXDUMMY|NEAR' AT "&amp;Table17357[[#This Row],[NEAR]]+Table17357[[#This Row],[RECLOSE]]+Table17357[[#This Row],[Fault_Time_sig]]&amp;"s;
RESTORE BRANCH 'DEDTXDUMMY|FAR' AT "&amp;Table17357[[#This Row],[NEAR]]+Table17357[[#This Row],[RECLOSE]]+Table17357[[#This Row],[Fault_Time_sig]]&amp;"s;
APPLY FAULT TO BRANCH 'DEDTXDUMMY'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'DEDTXDUMMY|NEAR' AT 5.25s;
TRIP BRANCH 'DEDTXDUMMY|FAR' AT 5.25s;
RESTORE BRANCH 'DEDTXDUMMY|NEAR' AT 8.25s;
RESTORE BRANCH 'DEDTXDUMMY|FAR' AT 8.25s;
APPLY FAULT TO BRANCH 'DEDTXDUMMY' AT 5s WITH TYPE=7, RF_OFFSET=0, XF_OFFSET=0, DURATION=0.25s, DISTANCE=0.5</v>
      </c>
      <c r="AC36" s="5">
        <v>20</v>
      </c>
      <c r="AD36" s="6"/>
      <c r="AE36" s="6"/>
      <c r="AF36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5.25s;
TRIP BRANCH 'BAL220_WAR220|FAR' AT 5.25s;
APPLY FAULT TO BRANCH 'BAL220_WAR220' AT 5s WITH TYPE=7, RF_OFFSET=0, XF_OFFSET=0, DURATION=0.25s, DISTANCE=0.5</v>
      </c>
      <c r="AG36" s="6" t="s">
        <v>99</v>
      </c>
      <c r="AH36" s="13" t="str">
        <f>"TRIP BRANCH 'DEDTXDUMMY|NEAR' AT "&amp;10+Table17357[[#This Row],[Fault_Time_sig]]&amp;"s;
TRIP BRANCH 'DEDTXDUMMY|FAR' AT "&amp;10+Table17357[[#This Row],[Fault_Time_sig]]&amp;"s;
TRIP BRANCH 'DEDTXDUMMY2|NEAR' AT "&amp;10+Table17357[[#This Row],[Fault_Time_sig]]&amp;"s;
TRIP BRANCH 'DEDTXDUMMY2|FAR' AT "&amp;10+Table17357[[#This Row],[Fault_Time_sig]]&amp;"s;
TRIP BRANCH 'DED330_MUR330No2|NEAR' AT "&amp;10+Table17357[[#This Row],[Fault_Time_sig]]&amp;"s;
TRIP BRANCH 'DED330_MUR330No2|FAR' AT "&amp;10+Table17357[[#This Row],[Fault_Time_sig]]&amp;"s;
TRIP SWITCHED_SHUNT 'DED' AT "&amp;10+Table17357[[#This Row],[Fault_Time_sig]]&amp;"s"</f>
        <v>TRIP BRANCH 'DEDTXDUMMY|NEAR' AT 15s;
TRIP BRANCH 'DEDTXDUMMY|FAR' AT 15s;
TRIP BRANCH 'DEDTXDUMMY2|NEAR' AT 15s;
TRIP BRANCH 'DEDTXDUMMY2|FAR' AT 15s;
TRIP BRANCH 'DED330_MUR330No2|NEAR' AT 15s;
TRIP BRANCH 'DED330_MUR330No2|FAR' AT 15s;
TRIP SWITCHED_SHUNT 'DED' AT 15s</v>
      </c>
    </row>
    <row r="37" spans="1:34" ht="165.6" customHeight="1" x14ac:dyDescent="0.3">
      <c r="A37" s="4" t="s">
        <v>24</v>
      </c>
      <c r="B37" s="4" t="str">
        <f>IF(Table17357[[#This Row],[Fault_Type_sig]]=7,"Balanced Faults",IF(Table17357[[#This Row],[Fault_Type_sig]]=4,"Unbalanced Faults","Plant Trip"))</f>
        <v>Balanced Faults</v>
      </c>
      <c r="C37" s="4" t="s">
        <v>106</v>
      </c>
      <c r="D37" s="4">
        <v>36</v>
      </c>
      <c r="E37" s="4"/>
      <c r="F37" s="4" t="s">
        <v>106</v>
      </c>
      <c r="G37" s="5" t="str">
        <f t="shared" si="0"/>
        <v>SummerLow_Case2_036</v>
      </c>
      <c r="H37" s="5">
        <v>100</v>
      </c>
      <c r="I37" s="4" t="b">
        <v>1</v>
      </c>
      <c r="J37" s="4" t="b">
        <v>1</v>
      </c>
      <c r="K37" s="4">
        <v>0.1</v>
      </c>
      <c r="L37" s="4">
        <v>0.1</v>
      </c>
      <c r="M37" s="4"/>
      <c r="N37" s="4" t="b">
        <v>0</v>
      </c>
      <c r="O37" s="4">
        <v>3</v>
      </c>
      <c r="P37" s="4">
        <v>7</v>
      </c>
      <c r="Q37" s="4">
        <v>5</v>
      </c>
      <c r="R37" s="4">
        <f>IF(Table17357[[#This Row],[CB FAIL SCENARIO]],MAX(Table17357[[#This Row],[NEAR]:[CB FAIL]]),MAX(Table17357[[#This Row],[NEAR]:[FAR]]))</f>
        <v>0.1</v>
      </c>
      <c r="S37" s="4"/>
      <c r="T37" s="4">
        <v>0</v>
      </c>
      <c r="U37" s="4">
        <v>0</v>
      </c>
      <c r="V37" s="4">
        <v>0</v>
      </c>
      <c r="W37" s="4">
        <v>10</v>
      </c>
      <c r="X37" s="4">
        <v>0.5</v>
      </c>
      <c r="Y37" s="4" t="b">
        <v>1</v>
      </c>
      <c r="Z37" s="4" t="b">
        <v>1</v>
      </c>
      <c r="AA37" s="4" t="str">
        <f>"0, AT "&amp;(Table17357[[#This Row],[Fault_Time_sig]])&amp;"s ↑ 1, at "&amp;(Table17357[[#This Row],[Fault_Time_sig]]+Table17357[[#This Row],[Fault_Duration_sig]])&amp;"s ↓ 0"</f>
        <v>0, AT 5s ↑ 1, at 5.1s ↓ 0</v>
      </c>
      <c r="AB37" s="13" t="str">
        <f>"TRIP BRANCH 'SMTXDUMMY|NEAR' AT "&amp;Table17357[[#This Row],[NEAR]]+Table17357[[#This Row],[Fault_Time_sig]]&amp;"s;
TRIP BRANCH 'SMTXDUMMY|FAR' AT "&amp;Table17357[[#This Row],[FAR]]+Table17357[[#This Row],[Fault_Time_sig]]&amp;"s;
RESTORE BRANCH 'SMTXDUMMY|NEAR' AT "&amp;Table17357[[#This Row],[NEAR]]+Table17357[[#This Row],[RECLOSE]]+Table17357[[#This Row],[Fault_Time_sig]]&amp;"s;
RESTORE BRANCH 'SMTXDUMMY|FAR' AT "&amp;Table17357[[#This Row],[NEAR]]+Table17357[[#This Row],[RECLOSE]]+Table17357[[#This Row],[Fault_Time_sig]]&amp;"s;
APPLY FAULT TO BRANCH 'SMTXDUMMY'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'SMTXDUMMY|NEAR' AT 5.1s;
TRIP BRANCH 'SMTXDUMMY|FAR' AT 5.1s;
RESTORE BRANCH 'SMTXDUMMY|NEAR' AT 8.1s;
RESTORE BRANCH 'SMTXDUMMY|FAR' AT 8.1s;
APPLY FAULT TO BRANCH 'SMTXDUMMY' AT 5s WITH TYPE=7, RF_OFFSET=0, XF_OFFSET=0, DURATION=0.1s, DISTANCE=0.5</v>
      </c>
      <c r="AC37" s="5">
        <v>20</v>
      </c>
      <c r="AD37" s="6"/>
      <c r="AE37" s="6"/>
      <c r="AF37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5.1s;
TRIP BRANCH 'BAL220_WAR220|FAR' AT 5.1s;
APPLY FAULT TO BRANCH 'BAL220_WAR220' AT 5s WITH TYPE=7, RF_OFFSET=0, XF_OFFSET=0, DURATION=0.1s, DISTANCE=0.5</v>
      </c>
      <c r="AG37" s="6"/>
    </row>
    <row r="38" spans="1:34" ht="195.6" customHeight="1" x14ac:dyDescent="0.3">
      <c r="A38" s="9" t="s">
        <v>24</v>
      </c>
      <c r="B38" s="4" t="str">
        <f>IF(Table17357[[#This Row],[Fault_Type_sig]]=7,"Balanced Faults",IF(Table17357[[#This Row],[Fault_Type_sig]]=4,"Unbalanced Faults","Plant Trip"))</f>
        <v>Balanced Faults</v>
      </c>
      <c r="C38" s="4" t="s">
        <v>106</v>
      </c>
      <c r="D38" s="9">
        <v>37</v>
      </c>
      <c r="E38" s="9"/>
      <c r="F38" s="4" t="s">
        <v>106</v>
      </c>
      <c r="G38" s="5" t="str">
        <f t="shared" si="0"/>
        <v>SummerLow_Case2_037</v>
      </c>
      <c r="H38" s="5">
        <v>100</v>
      </c>
      <c r="I38" s="9" t="b">
        <v>1</v>
      </c>
      <c r="J38" s="9" t="b">
        <v>1</v>
      </c>
      <c r="K38" s="9">
        <v>0.43</v>
      </c>
      <c r="L38" s="9">
        <v>0.43</v>
      </c>
      <c r="M38" s="9"/>
      <c r="N38" s="4" t="b">
        <v>0</v>
      </c>
      <c r="O38" s="9">
        <v>3</v>
      </c>
      <c r="P38" s="9">
        <v>7</v>
      </c>
      <c r="Q38" s="9">
        <v>5</v>
      </c>
      <c r="R38" s="4">
        <f>IF(Table17357[[#This Row],[CB FAIL SCENARIO]],MAX(Table17357[[#This Row],[NEAR]:[CB FAIL]]),MAX(Table17357[[#This Row],[NEAR]:[FAR]]))</f>
        <v>0.43</v>
      </c>
      <c r="S38" s="9"/>
      <c r="T38" s="9">
        <v>0</v>
      </c>
      <c r="U38" s="9">
        <v>0</v>
      </c>
      <c r="V38" s="9">
        <v>0</v>
      </c>
      <c r="W38" s="9">
        <v>10</v>
      </c>
      <c r="X38" s="9">
        <v>0.5</v>
      </c>
      <c r="Y38" s="9" t="b">
        <v>1</v>
      </c>
      <c r="Z38" s="9" t="b">
        <v>1</v>
      </c>
      <c r="AA38" s="17" t="str">
        <f>"0, AT "&amp;(Table17357[[#This Row],[Fault_Time_sig]])&amp;"s ↑ 1, at "&amp;(Table17357[[#This Row],[Fault_Time_sig]]+Table17357[[#This Row],[Fault_Duration_sig]])&amp;"s ↓ 0"</f>
        <v>0, AT 5s ↑ 1, at 5.43s ↓ 0</v>
      </c>
      <c r="AB38" s="14" t="str">
        <f>"TRIP BRANCH 'SHPTXDUMMY|NEAR' AT "&amp;Table17357[[#This Row],[NEAR]]+Table17357[[#This Row],[Fault_Time_sig]]&amp;"s;
TRIP BRANCH 'SHPTXDUMMY|FAR' AT "&amp;Table17357[[#This Row],[FAR]]+Table17357[[#This Row],[Fault_Time_sig]]&amp;"s;
RESTORE BRANCH 'SHPTXDUMMY|NEAR' AT "&amp;Table17357[[#This Row],[NEAR]]+Table17357[[#This Row],[RECLOSE]]+Table17357[[#This Row],[Fault_Time_sig]]&amp;"s;
RESTORE BRANCH 'SHPTXDUMMY|FAR' AT "&amp;Table17357[[#This Row],[NEAR]]+Table17357[[#This Row],[RECLOSE]]+Table17357[[#This Row],[Fault_Time_sig]]&amp;"s;
APPLY FAULT TO BRANCH 'SHPTXDUMMY'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'SHPTXDUMMY|NEAR' AT 5.43s;
TRIP BRANCH 'SHPTXDUMMY|FAR' AT 5.43s;
RESTORE BRANCH 'SHPTXDUMMY|NEAR' AT 8.43s;
RESTORE BRANCH 'SHPTXDUMMY|FAR' AT 8.43s;
APPLY FAULT TO BRANCH 'SHPTXDUMMY' AT 5s WITH TYPE=7, RF_OFFSET=0, XF_OFFSET=0, DURATION=0.43s, DISTANCE=0.5</v>
      </c>
      <c r="AC38" s="5">
        <v>20</v>
      </c>
      <c r="AD38" s="11"/>
      <c r="AE38" s="11"/>
      <c r="AF38" s="1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5.43s;
TRIP BRANCH 'BAL220_WAR220|FAR' AT 5.43s;
APPLY FAULT TO BRANCH 'BAL220_WAR220' AT 5s WITH TYPE=7, RF_OFFSET=0, XF_OFFSET=0, DURATION=0.43s, DISTANCE=0.5</v>
      </c>
      <c r="AG38" s="16"/>
    </row>
    <row r="39" spans="1:34" ht="43.2" customHeight="1" x14ac:dyDescent="0.3">
      <c r="A39" s="4" t="s">
        <v>24</v>
      </c>
      <c r="B39" s="4" t="str">
        <f>IF(Table17357[[#This Row],[Fault_Type_sig]]=7,"Balanced Faults",IF(Table17357[[#This Row],[Fault_Type_sig]]=4,"Unbalanced Faults","Plant Trip"))</f>
        <v>Plant Trip</v>
      </c>
      <c r="C39" s="4" t="s">
        <v>106</v>
      </c>
      <c r="D39" s="4">
        <v>38</v>
      </c>
      <c r="E39" s="4"/>
      <c r="F39" s="4" t="s">
        <v>106</v>
      </c>
      <c r="G39" s="5" t="str">
        <f t="shared" si="0"/>
        <v>SummerLow_Case2_038</v>
      </c>
      <c r="H39" s="5">
        <v>100</v>
      </c>
      <c r="I39" s="4" t="b">
        <v>1</v>
      </c>
      <c r="J39" s="4" t="b">
        <v>1</v>
      </c>
      <c r="K39" s="4">
        <v>0</v>
      </c>
      <c r="L39" s="4">
        <v>0</v>
      </c>
      <c r="M39" s="4"/>
      <c r="N39" s="4" t="b">
        <v>0</v>
      </c>
      <c r="O39" s="4">
        <v>3</v>
      </c>
      <c r="P39" s="4"/>
      <c r="Q39" s="4">
        <v>5</v>
      </c>
      <c r="R39" s="4">
        <f>IF(Table17357[[#This Row],[CB FAIL SCENARIO]],MAX(Table17357[[#This Row],[NEAR]:[CB FAIL]]),MAX(Table17357[[#This Row],[NEAR]:[FAR]]))</f>
        <v>0</v>
      </c>
      <c r="S39" s="4"/>
      <c r="T39" s="4">
        <v>0</v>
      </c>
      <c r="U39" s="4">
        <v>0</v>
      </c>
      <c r="V39" s="4">
        <v>0</v>
      </c>
      <c r="W39" s="4">
        <v>10</v>
      </c>
      <c r="X39" s="4">
        <v>0.5</v>
      </c>
      <c r="Y39" s="4" t="b">
        <v>1</v>
      </c>
      <c r="Z39" s="4" t="b">
        <v>1</v>
      </c>
      <c r="AA39" s="4" t="str">
        <f>"0, AT "&amp;(Table17357[[#This Row],[Fault_Time_sig]])&amp;"s ↑ 1, at "&amp;(Table17357[[#This Row],[Fault_Time_sig]]+Table17357[[#This Row],[Fault_Duration_sig]])&amp;"s ↓ 0"</f>
        <v>0, AT 5s ↑ 1, at 5s ↓ 0</v>
      </c>
      <c r="AB39" s="13" t="s">
        <v>45</v>
      </c>
      <c r="AC39" s="5">
        <v>20</v>
      </c>
      <c r="AD39" s="6"/>
      <c r="AE39" s="6"/>
      <c r="AF39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5s;
TRIP BRANCH 'BAL220_WAR220|FAR' AT 5s;
APPLY FAULT TO BRANCH 'BAL220_WAR220' AT 5s WITH TYPE=, RF_OFFSET=0, XF_OFFSET=0, DURATION=0s, DISTANCE=0.5</v>
      </c>
      <c r="AG39" s="6"/>
    </row>
    <row r="40" spans="1:34" ht="181.2" customHeight="1" x14ac:dyDescent="0.3">
      <c r="A40" s="4" t="s">
        <v>24</v>
      </c>
      <c r="B40" s="4" t="str">
        <f>IF(Table17357[[#This Row],[Fault_Type_sig]]=7,"Balanced Faults",IF(Table17357[[#This Row],[Fault_Type_sig]]=4,"Unbalanced Faults","Plant Trip"))</f>
        <v>Balanced Faults</v>
      </c>
      <c r="C40" s="4" t="s">
        <v>106</v>
      </c>
      <c r="D40" s="4">
        <v>39</v>
      </c>
      <c r="E40" s="4"/>
      <c r="F40" s="4" t="s">
        <v>106</v>
      </c>
      <c r="G40" s="5" t="str">
        <f t="shared" si="0"/>
        <v>SummerLow_Case2_039</v>
      </c>
      <c r="H40" s="5">
        <v>100</v>
      </c>
      <c r="I40" s="4" t="b">
        <v>1</v>
      </c>
      <c r="J40" s="4" t="b">
        <v>1</v>
      </c>
      <c r="K40" s="4">
        <v>0.08</v>
      </c>
      <c r="L40" s="4">
        <v>0.08</v>
      </c>
      <c r="M40" s="4"/>
      <c r="N40" s="4" t="b">
        <v>0</v>
      </c>
      <c r="O40" s="4">
        <v>3</v>
      </c>
      <c r="P40" s="4">
        <v>7</v>
      </c>
      <c r="Q40" s="4">
        <v>5</v>
      </c>
      <c r="R40" s="4">
        <f>IF(Table17357[[#This Row],[CB FAIL SCENARIO]],MAX(Table17357[[#This Row],[NEAR]:[CB FAIL]]),MAX(Table17357[[#This Row],[NEAR]:[FAR]]))</f>
        <v>0.08</v>
      </c>
      <c r="S40" s="4"/>
      <c r="T40" s="4">
        <v>0</v>
      </c>
      <c r="U40" s="4">
        <v>0</v>
      </c>
      <c r="V40" s="4">
        <v>0</v>
      </c>
      <c r="W40" s="4">
        <v>10</v>
      </c>
      <c r="X40" s="4">
        <v>0.5</v>
      </c>
      <c r="Y40" s="4" t="b">
        <v>1</v>
      </c>
      <c r="Z40" s="4" t="b">
        <v>1</v>
      </c>
      <c r="AA40" s="4" t="str">
        <f>"0, AT "&amp;(Table17357[[#This Row],[Fault_Time_sig]])&amp;"s ↑ 1, at "&amp;(Table17357[[#This Row],[Fault_Time_sig]]+Table17357[[#This Row],[Fault_Duration_sig]])&amp;"s ↓ 0"</f>
        <v>0, AT 5s ↑ 1, at 5.08s ↓ 0</v>
      </c>
      <c r="AB40" s="14" t="str">
        <f>"TRIP BRANCH 'LYB4|NEAR' AT "&amp;Table17357[[#This Row],[NEAR]]+Table17357[[#This Row],[Fault_Time_sig]]&amp;"s;
TRIP BRANCH 'LYB4|FAR' AT "&amp;Table17357[[#This Row],[FAR]]+Table17357[[#This Row],[Fault_Time_sig]]&amp;"s;
RESTORE BRANCH 'LYB4|NEAR' AT "&amp;Table17357[[#This Row],[NEAR]]+Table17357[[#This Row],[RECLOSE]]+Table17357[[#This Row],[Fault_Time_sig]]&amp;"s;
RESTORE BRANCH 'LYB4|FAR' AT "&amp;Table17357[[#This Row],[NEAR]]+Table17357[[#This Row],[RECLOSE]]+Table17357[[#This Row],[Fault_Time_sig]]&amp;"s;
APPLY FAULT TO BRANCH 'LYB4'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'LYB4|NEAR' AT 5.08s;
TRIP BRANCH 'LYB4|FAR' AT 5.08s;
RESTORE BRANCH 'LYB4|NEAR' AT 8.08s;
RESTORE BRANCH 'LYB4|FAR' AT 8.08s;
APPLY FAULT TO BRANCH 'LYB4' AT 5s WITH TYPE=7, RF_OFFSET=0, XF_OFFSET=0, DURATION=0.08s, DISTANCE=0.5</v>
      </c>
      <c r="AC40" s="5">
        <v>20</v>
      </c>
      <c r="AD40" s="6"/>
      <c r="AE40" s="6"/>
      <c r="AF40" s="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5.08s;
TRIP BRANCH 'BAL220_WAR220|FAR' AT 5.08s;
APPLY FAULT TO BRANCH 'BAL220_WAR220' AT 5s WITH TYPE=7, RF_OFFSET=0, XF_OFFSET=0, DURATION=0.08s, DISTANCE=0.5</v>
      </c>
      <c r="AG40" s="6"/>
    </row>
    <row r="41" spans="1:34" ht="43.2" customHeight="1" x14ac:dyDescent="0.3">
      <c r="A41" s="9" t="s">
        <v>24</v>
      </c>
      <c r="B41" s="4" t="str">
        <f>IF(Table17357[[#This Row],[Fault_Type_sig]]=7,"Balanced Faults",IF(Table17357[[#This Row],[Fault_Type_sig]]=4,"Unbalanced Faults","Plant Trip"))</f>
        <v>Plant Trip</v>
      </c>
      <c r="C41" s="4" t="s">
        <v>106</v>
      </c>
      <c r="D41" s="9">
        <v>40</v>
      </c>
      <c r="E41" s="9"/>
      <c r="F41" s="4" t="s">
        <v>106</v>
      </c>
      <c r="G41" s="5" t="str">
        <f t="shared" si="0"/>
        <v>SummerLow_Case2_040</v>
      </c>
      <c r="H41" s="5">
        <v>100</v>
      </c>
      <c r="I41" s="9" t="b">
        <v>1</v>
      </c>
      <c r="J41" s="9" t="b">
        <v>1</v>
      </c>
      <c r="K41" s="9">
        <v>0</v>
      </c>
      <c r="L41" s="9">
        <v>0</v>
      </c>
      <c r="M41" s="9"/>
      <c r="N41" s="4" t="b">
        <v>0</v>
      </c>
      <c r="O41" s="9">
        <v>3</v>
      </c>
      <c r="P41" s="9"/>
      <c r="Q41" s="9">
        <v>5</v>
      </c>
      <c r="R41" s="4">
        <f>IF(Table17357[[#This Row],[CB FAIL SCENARIO]],MAX(Table17357[[#This Row],[NEAR]:[CB FAIL]]),MAX(Table17357[[#This Row],[NEAR]:[FAR]]))</f>
        <v>0</v>
      </c>
      <c r="S41" s="9"/>
      <c r="T41" s="9">
        <v>0</v>
      </c>
      <c r="U41" s="9">
        <v>0</v>
      </c>
      <c r="V41" s="9">
        <v>0</v>
      </c>
      <c r="W41" s="9">
        <v>10</v>
      </c>
      <c r="X41" s="9">
        <v>0.5</v>
      </c>
      <c r="Y41" s="9" t="b">
        <v>1</v>
      </c>
      <c r="Z41" s="9" t="b">
        <v>1</v>
      </c>
      <c r="AA41" s="17" t="str">
        <f>"0, AT "&amp;(Table17357[[#This Row],[Fault_Time_sig]])&amp;"s ↑ 1, at "&amp;(Table17357[[#This Row],[Fault_Time_sig]]+Table17357[[#This Row],[Fault_Duration_sig]])&amp;"s ↓ 0"</f>
        <v>0, AT 5s ↑ 1, at 5s ↓ 0</v>
      </c>
      <c r="AB41" s="14" t="str">
        <f>"TRIP LOAD 'APD' AT "&amp;Table17357[[#This Row],[Fault_Time_sig]]&amp;"s"</f>
        <v>TRIP LOAD 'APD' AT 5s</v>
      </c>
      <c r="AC41" s="5">
        <v>20</v>
      </c>
      <c r="AD41" s="11"/>
      <c r="AE41" s="11"/>
      <c r="AF41" s="16" t="str">
        <f>"TRIP BRANCH 'BAL220_WAR220|NEAR' AT "&amp;Table17357[[#This Row],[NEAR]]+Table17357[[#This Row],[Fault_Time_sig]]&amp;"s;
TRIP BRANCH 'BAL220_WAR220|FAR' AT "&amp;Table17357[[#This Row],[FAR]]+Table17357[[#This Row],[Fault_Time_sig]]&amp;"s;
APPLY FAULT TO BRANCH 'BAL220_WAR220' AT "&amp;Table17357[[#This Row],[Fault_Time_sig]]&amp;"s WITH "
&amp;"TYPE="&amp;Table17357[[#This Row],[Fault_Type_sig]]
&amp;IF(Table17357[[#This Row],[Rf_Offset_sig]]="","",", RF_OFFSET="&amp;Table17357[[#This Row],[Rf_Offset_sig]])
&amp;IF(Table17357[[#This Row],[Xf_Offset_sig]]="","",", XF_OFFSET="&amp;Table17357[[#This Row],[Xf_Offset_sig]])
&amp;IF(Table17357[[#This Row],[Fault_Duration_sig]]="","",", DURATION="&amp;Table17357[[#This Row],[Fault_Duration_sig]]&amp;"s")
&amp;IF(Table17357[[#This Row],[Distance]]="","",", DISTANCE="&amp;Table17357[[#This Row],[Distance]])</f>
        <v>TRIP BRANCH 'BAL220_WAR220|NEAR' AT 5s;
TRIP BRANCH 'BAL220_WAR220|FAR' AT 5s;
APPLY FAULT TO BRANCH 'BAL220_WAR220' AT 5s WITH TYPE=, RF_OFFSET=0, XF_OFFSET=0, DURATION=0s, DISTANCE=0.5</v>
      </c>
      <c r="AG41" s="16"/>
    </row>
  </sheetData>
  <phoneticPr fontId="2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E925-62C4-48B4-86EC-F623B76C0631}">
  <sheetPr>
    <tabColor rgb="FF92D050"/>
  </sheetPr>
  <dimension ref="A1:AJ41"/>
  <sheetViews>
    <sheetView topLeftCell="Z1" zoomScale="60" zoomScaleNormal="60" workbookViewId="0">
      <selection activeCell="AC2" sqref="AC2:AC41"/>
    </sheetView>
  </sheetViews>
  <sheetFormatPr defaultColWidth="10.21875" defaultRowHeight="14.4" x14ac:dyDescent="0.3"/>
  <cols>
    <col min="1" max="1" width="15.77734375" bestFit="1" customWidth="1"/>
    <col min="2" max="2" width="13.44140625" bestFit="1" customWidth="1"/>
    <col min="3" max="3" width="24.44140625" bestFit="1" customWidth="1"/>
    <col min="4" max="4" width="18.77734375" style="1" bestFit="1" customWidth="1"/>
    <col min="5" max="5" width="22.33203125" bestFit="1" customWidth="1"/>
    <col min="6" max="6" width="40.6640625" bestFit="1" customWidth="1"/>
    <col min="7" max="7" width="24.21875" bestFit="1" customWidth="1"/>
    <col min="8" max="8" width="16.109375" customWidth="1"/>
    <col min="9" max="9" width="18.21875" customWidth="1"/>
    <col min="10" max="10" width="16.44140625" customWidth="1"/>
    <col min="11" max="12" width="14.77734375" customWidth="1"/>
    <col min="13" max="13" width="29.109375" customWidth="1"/>
    <col min="14" max="14" width="21" customWidth="1"/>
    <col min="15" max="15" width="9.77734375" customWidth="1"/>
    <col min="16" max="16" width="27.33203125" customWidth="1"/>
    <col min="17" max="17" width="31.88671875" customWidth="1"/>
    <col min="18" max="18" width="15.77734375" customWidth="1"/>
    <col min="20" max="20" width="17.44140625" customWidth="1"/>
    <col min="21" max="21" width="22.21875" customWidth="1"/>
    <col min="22" max="22" width="21.88671875" customWidth="1"/>
    <col min="23" max="23" width="22.88671875" bestFit="1" customWidth="1"/>
    <col min="24" max="24" width="16.109375" bestFit="1" customWidth="1"/>
    <col min="25" max="25" width="34.88671875" bestFit="1" customWidth="1"/>
    <col min="26" max="26" width="38.5546875" customWidth="1"/>
    <col min="27" max="27" width="141.88671875" customWidth="1"/>
    <col min="28" max="28" width="65.6640625" customWidth="1"/>
    <col min="29" max="29" width="24.21875" customWidth="1"/>
    <col min="31" max="31" width="47.44140625" hidden="1" customWidth="1"/>
    <col min="32" max="32" width="97.6640625" bestFit="1" customWidth="1"/>
    <col min="33" max="33" width="59.77734375" bestFit="1" customWidth="1"/>
    <col min="34" max="34" width="180.77734375" bestFit="1" customWidth="1"/>
    <col min="35" max="35" width="146.77734375" bestFit="1" customWidth="1"/>
    <col min="36" max="36" width="137.21875" bestFit="1" customWidth="1"/>
  </cols>
  <sheetData>
    <row r="1" spans="1:36" x14ac:dyDescent="0.3">
      <c r="A1" s="2" t="s">
        <v>0</v>
      </c>
      <c r="B1" s="2" t="s">
        <v>1</v>
      </c>
      <c r="C1" s="2" t="s">
        <v>25</v>
      </c>
      <c r="D1" s="2" t="s">
        <v>4</v>
      </c>
      <c r="E1" s="2" t="s">
        <v>5</v>
      </c>
      <c r="F1" s="2" t="s">
        <v>107</v>
      </c>
      <c r="G1" s="2" t="s">
        <v>6</v>
      </c>
      <c r="H1" s="3" t="s">
        <v>44</v>
      </c>
      <c r="I1" s="2" t="s">
        <v>2</v>
      </c>
      <c r="J1" s="2" t="s">
        <v>3</v>
      </c>
      <c r="K1" s="3" t="s">
        <v>28</v>
      </c>
      <c r="L1" s="3" t="s">
        <v>29</v>
      </c>
      <c r="M1" s="3" t="s">
        <v>48</v>
      </c>
      <c r="N1" s="3" t="s">
        <v>49</v>
      </c>
      <c r="O1" s="3" t="s">
        <v>30</v>
      </c>
      <c r="P1" s="3" t="s">
        <v>37</v>
      </c>
      <c r="Q1" s="3" t="s">
        <v>31</v>
      </c>
      <c r="R1" s="3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39</v>
      </c>
      <c r="X1" t="s">
        <v>38</v>
      </c>
      <c r="Y1" s="3" t="s">
        <v>26</v>
      </c>
      <c r="Z1" s="3" t="s">
        <v>27</v>
      </c>
      <c r="AA1" s="3" t="s">
        <v>46</v>
      </c>
      <c r="AB1" s="3" t="s">
        <v>23</v>
      </c>
      <c r="AC1" s="3" t="s">
        <v>7</v>
      </c>
      <c r="AD1" s="3" t="s">
        <v>22</v>
      </c>
      <c r="AE1" s="3" t="s">
        <v>8</v>
      </c>
      <c r="AF1" s="3" t="s">
        <v>41</v>
      </c>
      <c r="AG1" s="3" t="s">
        <v>98</v>
      </c>
      <c r="AH1" s="3" t="s">
        <v>40</v>
      </c>
      <c r="AI1" s="3" t="s">
        <v>42</v>
      </c>
      <c r="AJ1" s="3" t="s">
        <v>43</v>
      </c>
    </row>
    <row r="2" spans="1:36" ht="106.8" customHeight="1" x14ac:dyDescent="0.3">
      <c r="A2" s="4" t="s">
        <v>24</v>
      </c>
      <c r="B2" s="4" t="str">
        <f>IF(Table1735[[#This Row],[Fault_Type_sig]]=7,"Balanced Faults",IF(Table1735[[#This Row],[Fault_Type_sig]]=4,"Unbalanced Faults","Plant Trip"))</f>
        <v>Balanced Faults</v>
      </c>
      <c r="C2" s="4" t="s">
        <v>105</v>
      </c>
      <c r="D2" s="4">
        <v>1</v>
      </c>
      <c r="E2" s="4"/>
      <c r="F2" s="4" t="s">
        <v>105</v>
      </c>
      <c r="G2" s="5" t="str">
        <f t="shared" ref="G2:G41" si="0">C2&amp;"_"&amp;TEXT(D2,"000")</f>
        <v>SummerLow_Case1_001</v>
      </c>
      <c r="H2" s="5">
        <v>100</v>
      </c>
      <c r="I2" s="4" t="b">
        <v>1</v>
      </c>
      <c r="J2" s="4" t="b">
        <v>1</v>
      </c>
      <c r="K2" s="4">
        <v>0.43</v>
      </c>
      <c r="L2" s="4">
        <v>0.12</v>
      </c>
      <c r="M2" s="4">
        <v>0.43</v>
      </c>
      <c r="N2" s="4" t="b">
        <v>1</v>
      </c>
      <c r="O2" s="4">
        <v>3</v>
      </c>
      <c r="P2" s="4">
        <v>7</v>
      </c>
      <c r="Q2" s="4">
        <v>5</v>
      </c>
      <c r="R2" s="4">
        <f>IF(Table1735[[#This Row],[CB FAIL SCENARIO]],MAX(Table1735[[#This Row],[NEAR]:[CB FAIL]]),MAX(Table1735[[#This Row],[NEAR]:[FAR]]))</f>
        <v>0.43</v>
      </c>
      <c r="S2" s="4"/>
      <c r="T2" s="4">
        <v>0</v>
      </c>
      <c r="U2" s="4">
        <v>0</v>
      </c>
      <c r="V2" s="4">
        <v>0</v>
      </c>
      <c r="W2" s="4">
        <v>10</v>
      </c>
      <c r="X2" s="4">
        <v>0.99</v>
      </c>
      <c r="Y2" s="4" t="b">
        <v>1</v>
      </c>
      <c r="Z2" s="4" t="b">
        <v>1</v>
      </c>
      <c r="AA2" s="4" t="str">
        <f>"0, AT "&amp;(Table1735[[#This Row],[Fault_Time_sig]])&amp;"s ↑ 1, at "&amp;(Table1735[[#This Row],[Fault_Time_sig]]+Table1735[[#This Row],[Fault_Duration_sig]])&amp;"s ↓ 0"</f>
        <v>0, AT 5s ↑ 1, at 5.43s ↓ 0</v>
      </c>
      <c r="AB2" s="12" t="str">
        <f>"TRIP BRANCH 'SHTS220_GESF220|NEAR' AT "&amp;Table1735[[#This Row],[NEAR]]+Table1735[[#This Row],[Fault_Time_sig]]&amp;"s;
TRIP BRANCH 'SHTS220_GESF220|FAR' AT "&amp;Table1735[[#This Row],[FAR]]+Table1735[[#This Row],[Fault_Time_sig]]&amp;"s;
APPLY FAULT TO BRANCH 'SHTS220_GESF220'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'SHTS220_GESF220|NEAR' AT 5.43s;
TRIP BRANCH 'SHTS220_GESF220|FAR' AT 5.12s;
APPLY FAULT TO BRANCH 'SHTS220_GESF220' AT 5s WITH TYPE=7, RF_OFFSET=0, XF_OFFSET=0, DURATION=0.43s, DISTANCE=0.99</v>
      </c>
      <c r="AC2" s="5">
        <v>20</v>
      </c>
      <c r="AD2" s="6"/>
      <c r="AE2" s="6"/>
      <c r="AF2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5.43s;
TRIP BRANCH 'BAL220_WAR220|FAR' AT 5.12s;
APPLY FAULT TO BRANCH 'BAL220_WAR220' AT 5s WITH TYPE=7, RF_OFFSET=0, XF_OFFSET=0, DURATION=0.43s, DISTANCE=0.99</v>
      </c>
      <c r="AG2" s="6"/>
    </row>
    <row r="3" spans="1:36" ht="216" customHeight="1" x14ac:dyDescent="0.3">
      <c r="A3" s="9" t="s">
        <v>24</v>
      </c>
      <c r="B3" s="4" t="str">
        <f>IF(Table1735[[#This Row],[Fault_Type_sig]]=7,"Balanced Faults",IF(Table1735[[#This Row],[Fault_Type_sig]]=4,"Unbalanced Faults","Plant Trip"))</f>
        <v>Balanced Faults</v>
      </c>
      <c r="C3" s="4" t="s">
        <v>105</v>
      </c>
      <c r="D3" s="9">
        <v>2</v>
      </c>
      <c r="E3" s="9"/>
      <c r="F3" s="4" t="s">
        <v>105</v>
      </c>
      <c r="G3" s="5" t="str">
        <f t="shared" si="0"/>
        <v>SummerLow_Case1_002</v>
      </c>
      <c r="H3" s="5">
        <v>100</v>
      </c>
      <c r="I3" s="9" t="b">
        <v>1</v>
      </c>
      <c r="J3" s="9" t="b">
        <v>1</v>
      </c>
      <c r="K3" s="9">
        <v>0.12</v>
      </c>
      <c r="L3" s="9">
        <v>0.22</v>
      </c>
      <c r="M3" s="9">
        <v>0.43</v>
      </c>
      <c r="N3" s="9" t="b">
        <v>0</v>
      </c>
      <c r="O3" s="9">
        <v>3</v>
      </c>
      <c r="P3" s="9">
        <v>7</v>
      </c>
      <c r="Q3" s="9">
        <v>5</v>
      </c>
      <c r="R3" s="4">
        <f>IF(Table1735[[#This Row],[CB FAIL SCENARIO]],MAX(Table1735[[#This Row],[NEAR]:[CB FAIL]]),MAX(Table1735[[#This Row],[NEAR]:[FAR]]))</f>
        <v>0.22</v>
      </c>
      <c r="S3" s="9"/>
      <c r="T3" s="9">
        <v>0</v>
      </c>
      <c r="U3" s="9">
        <v>0</v>
      </c>
      <c r="V3" s="9">
        <v>0</v>
      </c>
      <c r="W3" s="4">
        <v>10</v>
      </c>
      <c r="X3" s="4">
        <v>0.01</v>
      </c>
      <c r="Y3" s="9" t="b">
        <v>1</v>
      </c>
      <c r="Z3" s="9" t="b">
        <v>1</v>
      </c>
      <c r="AA3" s="17" t="str">
        <f>"0, AT "&amp;(Table1735[[#This Row],[Fault_Time_sig]])&amp;"s ↑ 1, at "&amp;(Table1735[[#This Row],[Fault_Time_sig]]+Table1735[[#This Row],[Fault_Duration_sig]])&amp;"s ↓ 0"</f>
        <v>0, AT 5s ↑ 1, at 5.22s ↓ 0</v>
      </c>
      <c r="AB3" s="14" t="str">
        <f>"TRIP BRANCH 'SHTS220_GESF220|NEAR' AT "&amp;Table1735[[#This Row],[NEAR]]+Table1735[[#This Row],[Fault_Time_sig]]&amp;"s;
TRIP BRANCH 'SHTS220_GESF220|FAR' AT "&amp;Table1735[[#This Row],[FAR]]+Table1735[[#This Row],[Fault_Time_sig]]&amp;"s;
RESTORE BRANCH 'SHTS220_GESF220|NEAR' AT "&amp;Table1735[[#This Row],[NEAR]]+Table1735[[#This Row],[RECLOSE]]+Table1735[[#This Row],[Fault_Time_sig]]&amp;"s;
RESTORE BRANCH 'SHTS220_GESF220|FAR' AT "&amp;Table1735[[#This Row],[NEAR]]+Table1735[[#This Row],[RECLOSE]]+Table1735[[#This Row],[Fault_Time_sig]]&amp;"s;
APPLY FAULT TO BRANCH 'SHTS220_GESF220'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'SHTS220_GESF220|NEAR' AT 5.12s;
TRIP BRANCH 'SHTS220_GESF220|FAR' AT 5.22s;
RESTORE BRANCH 'SHTS220_GESF220|NEAR' AT 8.12s;
RESTORE BRANCH 'SHTS220_GESF220|FAR' AT 8.12s;
APPLY FAULT TO BRANCH 'SHTS220_GESF220' AT 5s WITH TYPE=7, RF_OFFSET=0, XF_OFFSET=0, DURATION=0.22s, DISTANCE=0.01</v>
      </c>
      <c r="AC3" s="5">
        <v>20</v>
      </c>
      <c r="AD3" s="11"/>
      <c r="AE3" s="11"/>
      <c r="AF3" s="1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5.12s;
TRIP BRANCH 'BAL220_WAR220|FAR' AT 5.22s;
APPLY FAULT TO BRANCH 'BAL220_WAR220' AT 5s WITH TYPE=7, RF_OFFSET=0, XF_OFFSET=0, DURATION=0.22s, DISTANCE=0.01</v>
      </c>
      <c r="AG3" s="16"/>
    </row>
    <row r="4" spans="1:36" ht="208.2" customHeight="1" x14ac:dyDescent="0.3">
      <c r="A4" s="9" t="s">
        <v>24</v>
      </c>
      <c r="B4" s="4" t="str">
        <f>IF(Table1735[[#This Row],[Fault_Type_sig]]=7,"Balanced Faults",IF(Table1735[[#This Row],[Fault_Type_sig]]=4,"Unbalanced Faults","Plant Trip"))</f>
        <v>Balanced Faults</v>
      </c>
      <c r="C4" s="4" t="s">
        <v>105</v>
      </c>
      <c r="D4" s="9">
        <v>3</v>
      </c>
      <c r="E4" s="9"/>
      <c r="F4" s="4" t="s">
        <v>105</v>
      </c>
      <c r="G4" s="5" t="str">
        <f t="shared" si="0"/>
        <v>SummerLow_Case1_003</v>
      </c>
      <c r="H4" s="5">
        <v>100</v>
      </c>
      <c r="I4" s="9" t="b">
        <v>1</v>
      </c>
      <c r="J4" s="9" t="b">
        <v>1</v>
      </c>
      <c r="K4" s="9">
        <v>0.43</v>
      </c>
      <c r="L4" s="9">
        <v>0.12</v>
      </c>
      <c r="M4" s="9">
        <v>0.43</v>
      </c>
      <c r="N4" s="4" t="b">
        <v>1</v>
      </c>
      <c r="O4" s="9">
        <v>3</v>
      </c>
      <c r="P4" s="9">
        <v>7</v>
      </c>
      <c r="Q4" s="9">
        <v>5</v>
      </c>
      <c r="R4" s="4">
        <f>IF(Table1735[[#This Row],[CB FAIL SCENARIO]],MAX(Table1735[[#This Row],[NEAR]:[CB FAIL]]),MAX(Table1735[[#This Row],[NEAR]:[FAR]]))</f>
        <v>0.43</v>
      </c>
      <c r="S4" s="9"/>
      <c r="T4" s="9">
        <v>0</v>
      </c>
      <c r="U4" s="9">
        <v>0</v>
      </c>
      <c r="V4" s="9">
        <v>0</v>
      </c>
      <c r="W4" s="4">
        <v>10</v>
      </c>
      <c r="X4" s="4">
        <v>0.99</v>
      </c>
      <c r="Y4" s="9" t="b">
        <v>1</v>
      </c>
      <c r="Z4" s="9" t="b">
        <v>1</v>
      </c>
      <c r="AA4" s="17" t="str">
        <f>"0, AT "&amp;(Table1735[[#This Row],[Fault_Time_sig]])&amp;"s ↑ 1, at "&amp;(Table1735[[#This Row],[Fault_Time_sig]]+Table1735[[#This Row],[Fault_Duration_sig]])&amp;"s ↓ 0"</f>
        <v>0, AT 5s ↑ 1, at 5.43s ↓ 0</v>
      </c>
      <c r="AB4" s="14" t="str">
        <f>"TRIP BRANCH 'DED220_GESF220|NEAR' AT "&amp;Table1735[[#This Row],[NEAR]]+Table1735[[#This Row],[Fault_Time_sig]]&amp;"s;
TRIP BRANCH 'DED220_GESF220|FAR' AT "&amp;Table1735[[#This Row],[FAR]]+Table1735[[#This Row],[Fault_Time_sig]]&amp;"s;
APPLY FAULT TO BRANCH 'DED220_GESF220'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'DED220_GESF220|NEAR' AT 5.43s;
TRIP BRANCH 'DED220_GESF220|FAR' AT 5.12s;
APPLY FAULT TO BRANCH 'DED220_GESF220' AT 5s WITH TYPE=7, RF_OFFSET=0, XF_OFFSET=0, DURATION=0.43s, DISTANCE=0.99</v>
      </c>
      <c r="AC4" s="5">
        <v>20</v>
      </c>
      <c r="AD4" s="11"/>
      <c r="AE4" s="11"/>
      <c r="AF4" s="1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5.43s;
TRIP BRANCH 'BAL220_WAR220|FAR' AT 5.12s;
APPLY FAULT TO BRANCH 'BAL220_WAR220' AT 5s WITH TYPE=7, RF_OFFSET=0, XF_OFFSET=0, DURATION=0.43s, DISTANCE=0.99</v>
      </c>
      <c r="AG4" s="16"/>
    </row>
    <row r="5" spans="1:36" ht="195" customHeight="1" x14ac:dyDescent="0.3">
      <c r="A5" s="9" t="s">
        <v>24</v>
      </c>
      <c r="B5" s="4" t="str">
        <f>IF(Table1735[[#This Row],[Fault_Type_sig]]=7,"Balanced Faults",IF(Table1735[[#This Row],[Fault_Type_sig]]=4,"Unbalanced Faults","Plant Trip"))</f>
        <v>Balanced Faults</v>
      </c>
      <c r="C5" s="4" t="s">
        <v>105</v>
      </c>
      <c r="D5" s="9">
        <v>4</v>
      </c>
      <c r="E5" s="9"/>
      <c r="F5" s="4" t="s">
        <v>105</v>
      </c>
      <c r="G5" s="5" t="str">
        <f t="shared" si="0"/>
        <v>SummerLow_Case1_004</v>
      </c>
      <c r="H5" s="5">
        <v>100</v>
      </c>
      <c r="I5" s="9" t="b">
        <v>1</v>
      </c>
      <c r="J5" s="9" t="b">
        <v>1</v>
      </c>
      <c r="K5" s="9">
        <v>0.12</v>
      </c>
      <c r="L5" s="9">
        <v>0.22</v>
      </c>
      <c r="M5" s="9">
        <v>0.43</v>
      </c>
      <c r="N5" s="9" t="b">
        <v>0</v>
      </c>
      <c r="O5" s="9">
        <v>3</v>
      </c>
      <c r="P5" s="9">
        <v>7</v>
      </c>
      <c r="Q5" s="9">
        <v>5</v>
      </c>
      <c r="R5" s="4">
        <f>IF(Table1735[[#This Row],[CB FAIL SCENARIO]],MAX(Table1735[[#This Row],[NEAR]:[CB FAIL]]),MAX(Table1735[[#This Row],[NEAR]:[FAR]]))</f>
        <v>0.22</v>
      </c>
      <c r="S5" s="9"/>
      <c r="T5" s="9">
        <v>0</v>
      </c>
      <c r="U5" s="9">
        <v>0</v>
      </c>
      <c r="V5" s="9">
        <v>0</v>
      </c>
      <c r="W5" s="4">
        <v>10</v>
      </c>
      <c r="X5" s="4">
        <v>0.01</v>
      </c>
      <c r="Y5" s="9" t="b">
        <v>1</v>
      </c>
      <c r="Z5" s="9" t="b">
        <v>1</v>
      </c>
      <c r="AA5" s="17" t="str">
        <f>"0, AT "&amp;(Table1735[[#This Row],[Fault_Time_sig]])&amp;"s ↑ 1, at "&amp;(Table1735[[#This Row],[Fault_Time_sig]]+Table1735[[#This Row],[Fault_Duration_sig]])&amp;"s ↓ 0"</f>
        <v>0, AT 5s ↑ 1, at 5.22s ↓ 0</v>
      </c>
      <c r="AB5" s="14" t="str">
        <f>"TRIP BRANCH 'DED220_GESF220|NEAR' AT "&amp;Table1735[[#This Row],[NEAR]]+Table1735[[#This Row],[Fault_Time_sig]]&amp;"s;
TRIP BRANCH 'DED220_GESF220|FAR' AT "&amp;Table1735[[#This Row],[FAR]]+Table1735[[#This Row],[Fault_Time_sig]]&amp;"s;
RESTORE BRANCH 'DED220_GESF220|NEAR' AT "&amp;Table1735[[#This Row],[NEAR]]+Table1735[[#This Row],[RECLOSE]]+Table1735[[#This Row],[Fault_Time_sig]]&amp;"s;
RESTORE BRANCH 'DED220_GESF220|FAR' AT "&amp;Table1735[[#This Row],[NEAR]]+Table1735[[#This Row],[RECLOSE]]+Table1735[[#This Row],[Fault_Time_sig]]&amp;"s;
APPLY FAULT TO BRANCH 'DED220_GESF220'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'DED220_GESF220|NEAR' AT 5.12s;
TRIP BRANCH 'DED220_GESF220|FAR' AT 5.22s;
RESTORE BRANCH 'DED220_GESF220|NEAR' AT 8.12s;
RESTORE BRANCH 'DED220_GESF220|FAR' AT 8.12s;
APPLY FAULT TO BRANCH 'DED220_GESF220' AT 5s WITH TYPE=7, RF_OFFSET=0, XF_OFFSET=0, DURATION=0.22s, DISTANCE=0.01</v>
      </c>
      <c r="AC5" s="5">
        <v>20</v>
      </c>
      <c r="AD5" s="11"/>
      <c r="AE5" s="11"/>
      <c r="AF5" s="1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5.12s;
TRIP BRANCH 'BAL220_WAR220|FAR' AT 5.22s;
APPLY FAULT TO BRANCH 'BAL220_WAR220' AT 5s WITH TYPE=7, RF_OFFSET=0, XF_OFFSET=0, DURATION=0.22s, DISTANCE=0.01</v>
      </c>
      <c r="AG5" s="16"/>
    </row>
    <row r="6" spans="1:36" ht="43.2" customHeight="1" x14ac:dyDescent="0.3">
      <c r="A6" s="9" t="s">
        <v>24</v>
      </c>
      <c r="B6" s="4" t="str">
        <f>IF(Table1735[[#This Row],[Fault_Type_sig]]=7,"Balanced Faults",IF(Table1735[[#This Row],[Fault_Type_sig]]=4,"Unbalanced Faults","Plant Trip"))</f>
        <v>Balanced Faults</v>
      </c>
      <c r="C6" s="4" t="s">
        <v>105</v>
      </c>
      <c r="D6" s="9">
        <v>5</v>
      </c>
      <c r="E6" s="9"/>
      <c r="F6" s="4" t="s">
        <v>105</v>
      </c>
      <c r="G6" s="5" t="str">
        <f t="shared" si="0"/>
        <v>SummerLow_Case1_005</v>
      </c>
      <c r="H6" s="5">
        <v>100</v>
      </c>
      <c r="I6" s="9" t="b">
        <v>1</v>
      </c>
      <c r="J6" s="9" t="b">
        <v>1</v>
      </c>
      <c r="K6" s="9">
        <v>0.08</v>
      </c>
      <c r="L6" s="9">
        <v>0.1</v>
      </c>
      <c r="M6" s="9">
        <v>0.17499999999999999</v>
      </c>
      <c r="N6" s="4" t="b">
        <v>0</v>
      </c>
      <c r="O6" s="9">
        <v>3</v>
      </c>
      <c r="P6" s="9">
        <v>7</v>
      </c>
      <c r="Q6" s="9">
        <v>5</v>
      </c>
      <c r="R6" s="4">
        <f>IF(Table1735[[#This Row],[CB FAIL SCENARIO]],MAX(Table1735[[#This Row],[NEAR]:[CB FAIL]]),MAX(Table1735[[#This Row],[NEAR]:[FAR]]))</f>
        <v>0.1</v>
      </c>
      <c r="S6" s="9"/>
      <c r="T6" s="9">
        <v>0</v>
      </c>
      <c r="U6" s="9">
        <v>0</v>
      </c>
      <c r="V6" s="9">
        <v>0</v>
      </c>
      <c r="W6" s="4">
        <v>10</v>
      </c>
      <c r="X6" s="4">
        <v>0.99</v>
      </c>
      <c r="Y6" s="9" t="b">
        <v>1</v>
      </c>
      <c r="Z6" s="9" t="b">
        <v>1</v>
      </c>
      <c r="AA6" s="17" t="str">
        <f>"0, AT "&amp;(Table1735[[#This Row],[Fault_Time_sig]])&amp;"s ↑ 1, at "&amp;(Table1735[[#This Row],[Fault_Time_sig]]+Table1735[[#This Row],[Fault_Duration_sig]])&amp;"s ↓ 0"</f>
        <v>0, AT 5s ↑ 1, at 5.1s ↓ 0</v>
      </c>
      <c r="AB6" s="14" t="str">
        <f>"TRIP BRANCH 'HZ500_SM500|NEAR' AT "&amp;Table1735[[#This Row],[NEAR]]+Table1735[[#This Row],[Fault_Time_sig]]&amp;"s;
TRIP BRANCH 'HZ500_SM500|FAR' AT "&amp;Table1735[[#This Row],[FAR]]+Table1735[[#This Row],[Fault_Time_sig]]&amp;"s;
RESTORE BRANCH 'HZ500_SM500|NEAR' AT "&amp;Table1735[[#This Row],[NEAR]]+Table1735[[#This Row],[RECLOSE]]+Table1735[[#This Row],[Fault_Time_sig]]&amp;"s;
RESTORE BRANCH 'HZ500_SM500|FAR' AT "&amp;Table1735[[#This Row],[NEAR]]+Table1735[[#This Row],[RECLOSE]]+Table1735[[#This Row],[Fault_Time_sig]]&amp;"s;
APPLY FAULT TO BRANCH 'HZ500_SM500'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'HZ500_SM500|NEAR' AT 5.08s;
TRIP BRANCH 'HZ500_SM500|FAR' AT 5.1s;
RESTORE BRANCH 'HZ500_SM500|NEAR' AT 8.08s;
RESTORE BRANCH 'HZ500_SM500|FAR' AT 8.08s;
APPLY FAULT TO BRANCH 'HZ500_SM500' AT 5s WITH TYPE=7, RF_OFFSET=0, XF_OFFSET=0, DURATION=0.1s, DISTANCE=0.99</v>
      </c>
      <c r="AC6" s="5">
        <v>20</v>
      </c>
      <c r="AD6" s="11"/>
      <c r="AE6" s="11"/>
      <c r="AF6" s="1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5.08s;
TRIP BRANCH 'BAL220_WAR220|FAR' AT 5.1s;
APPLY FAULT TO BRANCH 'BAL220_WAR220' AT 5s WITH TYPE=7, RF_OFFSET=0, XF_OFFSET=0, DURATION=0.1s, DISTANCE=0.99</v>
      </c>
      <c r="AG6" s="16"/>
    </row>
    <row r="7" spans="1:36" ht="43.2" customHeight="1" x14ac:dyDescent="0.3">
      <c r="A7" s="9" t="s">
        <v>24</v>
      </c>
      <c r="B7" s="4" t="str">
        <f>IF(Table1735[[#This Row],[Fault_Type_sig]]=7,"Balanced Faults",IF(Table1735[[#This Row],[Fault_Type_sig]]=4,"Unbalanced Faults","Plant Trip"))</f>
        <v>Balanced Faults</v>
      </c>
      <c r="C7" s="4" t="s">
        <v>105</v>
      </c>
      <c r="D7" s="9">
        <v>6</v>
      </c>
      <c r="E7" s="9"/>
      <c r="F7" s="4" t="s">
        <v>105</v>
      </c>
      <c r="G7" s="5" t="str">
        <f t="shared" si="0"/>
        <v>SummerLow_Case1_006</v>
      </c>
      <c r="H7" s="5">
        <v>100</v>
      </c>
      <c r="I7" s="9" t="b">
        <v>1</v>
      </c>
      <c r="J7" s="9" t="b">
        <v>1</v>
      </c>
      <c r="K7" s="9">
        <v>0.17499999999999999</v>
      </c>
      <c r="L7" s="9">
        <v>0.17499999999999999</v>
      </c>
      <c r="M7" s="9">
        <v>0.17499999999999999</v>
      </c>
      <c r="N7" s="9" t="b">
        <v>1</v>
      </c>
      <c r="O7" s="9">
        <v>3</v>
      </c>
      <c r="P7" s="9">
        <v>7</v>
      </c>
      <c r="Q7" s="9">
        <v>5</v>
      </c>
      <c r="R7" s="4">
        <f>IF(Table1735[[#This Row],[CB FAIL SCENARIO]],MAX(Table1735[[#This Row],[NEAR]:[CB FAIL]]),MAX(Table1735[[#This Row],[NEAR]:[FAR]]))</f>
        <v>0.17499999999999999</v>
      </c>
      <c r="S7" s="9"/>
      <c r="T7" s="9">
        <v>0</v>
      </c>
      <c r="U7" s="9">
        <v>0</v>
      </c>
      <c r="V7" s="9">
        <v>0</v>
      </c>
      <c r="W7" s="4">
        <v>10</v>
      </c>
      <c r="X7" s="4">
        <v>0.99</v>
      </c>
      <c r="Y7" s="9" t="b">
        <v>1</v>
      </c>
      <c r="Z7" s="9" t="b">
        <v>1</v>
      </c>
      <c r="AA7" s="17" t="str">
        <f>"0, AT "&amp;(Table1735[[#This Row],[Fault_Time_sig]])&amp;"s ↑ 1, at "&amp;(Table1735[[#This Row],[Fault_Time_sig]]+Table1735[[#This Row],[Fault_Duration_sig]])&amp;"s ↓ 0"</f>
        <v>0, AT 5s ↑ 1, at 5.175s ↓ 0</v>
      </c>
      <c r="AB7" s="14" t="str">
        <f>"TRIP BRANCH 'RO500_SM500|NEAR' AT "&amp;Table1735[[#This Row],[NEAR]]+Table1735[[#This Row],[Fault_Time_sig]]&amp;"s;
TRIP BRANCH 'RO500_SM500|FAR' AT "&amp;Table1735[[#This Row],[FAR]]+Table1735[[#This Row],[Fault_Time_sig]]&amp;"s;
APPLY FAULT TO BRANCH 'RO500_SM500'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'RO500_SM500|NEAR' AT 5.175s;
TRIP BRANCH 'RO500_SM500|FAR' AT 5.175s;
APPLY FAULT TO BRANCH 'RO500_SM500' AT 5s WITH TYPE=7, RF_OFFSET=0, XF_OFFSET=0, DURATION=0.175s, DISTANCE=0.99</v>
      </c>
      <c r="AC7" s="5">
        <v>20</v>
      </c>
      <c r="AD7" s="11"/>
      <c r="AE7" s="11"/>
      <c r="AF7" s="1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5.175s;
TRIP BRANCH 'BAL220_WAR220|FAR' AT 5.175s;
APPLY FAULT TO BRANCH 'BAL220_WAR220' AT 5s WITH TYPE=7, RF_OFFSET=0, XF_OFFSET=0, DURATION=0.175s, DISTANCE=0.99</v>
      </c>
      <c r="AG7" s="16"/>
    </row>
    <row r="8" spans="1:36" ht="43.2" customHeight="1" x14ac:dyDescent="0.3">
      <c r="A8" s="9" t="s">
        <v>24</v>
      </c>
      <c r="B8" s="4" t="str">
        <f>IF(Table1735[[#This Row],[Fault_Type_sig]]=7,"Balanced Faults",IF(Table1735[[#This Row],[Fault_Type_sig]]=4,"Unbalanced Faults","Plant Trip"))</f>
        <v>Balanced Faults</v>
      </c>
      <c r="C8" s="4" t="s">
        <v>105</v>
      </c>
      <c r="D8" s="9">
        <v>7</v>
      </c>
      <c r="E8" s="9"/>
      <c r="F8" s="4" t="s">
        <v>105</v>
      </c>
      <c r="G8" s="5" t="str">
        <f t="shared" si="0"/>
        <v>SummerLow_Case1_007</v>
      </c>
      <c r="H8" s="5">
        <v>100</v>
      </c>
      <c r="I8" s="9" t="b">
        <v>1</v>
      </c>
      <c r="J8" s="9" t="b">
        <v>1</v>
      </c>
      <c r="K8" s="9">
        <v>0.8</v>
      </c>
      <c r="L8" s="9">
        <v>0.1</v>
      </c>
      <c r="M8" s="9">
        <v>0.17499999999999999</v>
      </c>
      <c r="N8" s="9" t="b">
        <v>0</v>
      </c>
      <c r="O8" s="9">
        <v>3</v>
      </c>
      <c r="P8" s="9">
        <v>7</v>
      </c>
      <c r="Q8" s="9">
        <v>5</v>
      </c>
      <c r="R8" s="4">
        <f>IF(Table1735[[#This Row],[CB FAIL SCENARIO]],MAX(Table1735[[#This Row],[NEAR]:[CB FAIL]]),MAX(Table1735[[#This Row],[NEAR]:[FAR]]))</f>
        <v>0.8</v>
      </c>
      <c r="S8" s="9"/>
      <c r="T8" s="9">
        <v>0</v>
      </c>
      <c r="U8" s="9">
        <v>0</v>
      </c>
      <c r="V8" s="9">
        <v>0</v>
      </c>
      <c r="W8" s="4">
        <v>10</v>
      </c>
      <c r="X8" s="4">
        <v>0.99</v>
      </c>
      <c r="Y8" s="9" t="b">
        <v>1</v>
      </c>
      <c r="Z8" s="9" t="b">
        <v>1</v>
      </c>
      <c r="AA8" s="17" t="str">
        <f>"0, AT "&amp;(Table1735[[#This Row],[Fault_Time_sig]])&amp;"s ↑ 1, at "&amp;(Table1735[[#This Row],[Fault_Time_sig]]+Table1735[[#This Row],[Fault_Duration_sig]])&amp;"s ↓ 0"</f>
        <v>0, AT 5s ↑ 1, at 5.8s ↓ 0</v>
      </c>
      <c r="AB8" s="14" t="str">
        <f>"TRIP BRANCH 'KE500_SM500|NEAR' AT "&amp;Table1735[[#This Row],[NEAR]]+Table1735[[#This Row],[Fault_Time_sig]]&amp;"s;
TRIP BRANCH 'KE500_SM500|FAR' AT "&amp;Table1735[[#This Row],[FAR]]+Table1735[[#This Row],[Fault_Time_sig]]&amp;"s;
RESTORE BRANCH 'KE500_SM500|NEAR' AT "&amp;Table1735[[#This Row],[NEAR]]+Table1735[[#This Row],[RECLOSE]]+Table1735[[#This Row],[Fault_Time_sig]]&amp;"s;
RESTORE BRANCH 'KE500_SM500|FAR' AT "&amp;Table1735[[#This Row],[NEAR]]+Table1735[[#This Row],[RECLOSE]]+Table1735[[#This Row],[Fault_Time_sig]]&amp;"s;
APPLY FAULT TO BRANCH 'KE500_SM500'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'KE500_SM500|NEAR' AT 5.8s;
TRIP BRANCH 'KE500_SM500|FAR' AT 5.1s;
RESTORE BRANCH 'KE500_SM500|NEAR' AT 8.8s;
RESTORE BRANCH 'KE500_SM500|FAR' AT 8.8s;
APPLY FAULT TO BRANCH 'KE500_SM500' AT 5s WITH TYPE=7, RF_OFFSET=0, XF_OFFSET=0, DURATION=0.8s, DISTANCE=0.99</v>
      </c>
      <c r="AC8" s="5">
        <v>20</v>
      </c>
      <c r="AD8" s="11"/>
      <c r="AE8" s="11"/>
      <c r="AF8" s="1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5.8s;
TRIP BRANCH 'BAL220_WAR220|FAR' AT 5.1s;
APPLY FAULT TO BRANCH 'BAL220_WAR220' AT 5s WITH TYPE=7, RF_OFFSET=0, XF_OFFSET=0, DURATION=0.8s, DISTANCE=0.99</v>
      </c>
      <c r="AG8" s="16"/>
    </row>
    <row r="9" spans="1:36" ht="43.2" customHeight="1" x14ac:dyDescent="0.3">
      <c r="A9" s="9" t="s">
        <v>24</v>
      </c>
      <c r="B9" s="4" t="str">
        <f>IF(Table1735[[#This Row],[Fault_Type_sig]]=7,"Balanced Faults",IF(Table1735[[#This Row],[Fault_Type_sig]]=4,"Unbalanced Faults","Plant Trip"))</f>
        <v>Balanced Faults</v>
      </c>
      <c r="C9" s="4" t="s">
        <v>105</v>
      </c>
      <c r="D9" s="9">
        <v>8</v>
      </c>
      <c r="E9" s="9"/>
      <c r="F9" s="4" t="s">
        <v>105</v>
      </c>
      <c r="G9" s="5" t="str">
        <f t="shared" si="0"/>
        <v>SummerLow_Case1_008</v>
      </c>
      <c r="H9" s="5">
        <v>100</v>
      </c>
      <c r="I9" s="9" t="b">
        <v>1</v>
      </c>
      <c r="J9" s="9" t="b">
        <v>1</v>
      </c>
      <c r="K9" s="9">
        <v>0.1</v>
      </c>
      <c r="L9" s="9">
        <v>0.12</v>
      </c>
      <c r="M9" s="9">
        <v>0.25</v>
      </c>
      <c r="N9" s="9" t="b">
        <v>0</v>
      </c>
      <c r="O9" s="9">
        <v>3</v>
      </c>
      <c r="P9" s="9">
        <v>7</v>
      </c>
      <c r="Q9" s="9">
        <v>5</v>
      </c>
      <c r="R9" s="4">
        <f>IF(Table1735[[#This Row],[CB FAIL SCENARIO]],MAX(Table1735[[#This Row],[NEAR]:[CB FAIL]]),MAX(Table1735[[#This Row],[NEAR]:[FAR]]))</f>
        <v>0.12</v>
      </c>
      <c r="S9" s="9"/>
      <c r="T9" s="9">
        <v>0</v>
      </c>
      <c r="U9" s="9">
        <v>0</v>
      </c>
      <c r="V9" s="9">
        <v>0</v>
      </c>
      <c r="W9" s="4">
        <v>10</v>
      </c>
      <c r="X9" s="4">
        <v>0.01</v>
      </c>
      <c r="Y9" s="9" t="b">
        <v>1</v>
      </c>
      <c r="Z9" s="9" t="b">
        <v>1</v>
      </c>
      <c r="AA9" s="17" t="str">
        <f>"0, AT "&amp;(Table1735[[#This Row],[Fault_Time_sig]])&amp;"s ↑ 1, at "&amp;(Table1735[[#This Row],[Fault_Time_sig]]+Table1735[[#This Row],[Fault_Duration_sig]])&amp;"s ↓ 0"</f>
        <v>0, AT 5s ↑ 1, at 5.12s ↓ 0</v>
      </c>
      <c r="AB9" s="14" t="str">
        <f>"TRIP BRANCH 'DE330_WO330|NEAR' AT "&amp;Table1735[[#This Row],[NEAR]]+Table1735[[#This Row],[Fault_Time_sig]]&amp;"s;
TRIP BRANCH 'DE330_WO330|FAR' AT "&amp;Table1735[[#This Row],[FAR]]+Table1735[[#This Row],[Fault_Time_sig]]&amp;"s;
APPLY FAULT TO BRANCH 'DE330_WO330'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'DE330_WO330|NEAR' AT 5.1s;
TRIP BRANCH 'DE330_WO330|FAR' AT 5.12s;
APPLY FAULT TO BRANCH 'DE330_WO330' AT 5s WITH TYPE=7, RF_OFFSET=0, XF_OFFSET=0, DURATION=0.12s, DISTANCE=0.01</v>
      </c>
      <c r="AC9" s="5">
        <v>20</v>
      </c>
      <c r="AD9" s="11"/>
      <c r="AE9" s="11"/>
      <c r="AF9" s="1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5.1s;
TRIP BRANCH 'BAL220_WAR220|FAR' AT 5.12s;
APPLY FAULT TO BRANCH 'BAL220_WAR220' AT 5s WITH TYPE=7, RF_OFFSET=0, XF_OFFSET=0, DURATION=0.12s, DISTANCE=0.01</v>
      </c>
      <c r="AG9" s="16"/>
    </row>
    <row r="10" spans="1:36" ht="43.2" customHeight="1" x14ac:dyDescent="0.3">
      <c r="A10" s="9" t="s">
        <v>24</v>
      </c>
      <c r="B10" s="4" t="str">
        <f>IF(Table1735[[#This Row],[Fault_Type_sig]]=7,"Balanced Faults",IF(Table1735[[#This Row],[Fault_Type_sig]]=4,"Unbalanced Faults","Plant Trip"))</f>
        <v>Balanced Faults</v>
      </c>
      <c r="C10" s="4" t="s">
        <v>105</v>
      </c>
      <c r="D10" s="9">
        <v>9</v>
      </c>
      <c r="E10" s="9"/>
      <c r="F10" s="4" t="s">
        <v>105</v>
      </c>
      <c r="G10" s="5" t="str">
        <f t="shared" si="0"/>
        <v>SummerLow_Case1_009</v>
      </c>
      <c r="H10" s="5">
        <v>100</v>
      </c>
      <c r="I10" s="9" t="b">
        <v>1</v>
      </c>
      <c r="J10" s="9" t="b">
        <v>1</v>
      </c>
      <c r="K10" s="9">
        <v>0.1</v>
      </c>
      <c r="L10" s="9">
        <v>0.12</v>
      </c>
      <c r="M10" s="9">
        <v>0.25</v>
      </c>
      <c r="N10" s="9" t="b">
        <v>0</v>
      </c>
      <c r="O10" s="9">
        <v>3</v>
      </c>
      <c r="P10" s="9">
        <v>7</v>
      </c>
      <c r="Q10" s="9">
        <v>5</v>
      </c>
      <c r="R10" s="4">
        <f>IF(Table1735[[#This Row],[CB FAIL SCENARIO]],MAX(Table1735[[#This Row],[NEAR]:[CB FAIL]]),MAX(Table1735[[#This Row],[NEAR]:[FAR]]))</f>
        <v>0.12</v>
      </c>
      <c r="S10" s="9"/>
      <c r="T10" s="9">
        <v>0</v>
      </c>
      <c r="U10" s="9">
        <v>0</v>
      </c>
      <c r="V10" s="9">
        <v>0</v>
      </c>
      <c r="W10" s="4">
        <v>10</v>
      </c>
      <c r="X10" s="4">
        <v>0.99</v>
      </c>
      <c r="Y10" s="9" t="b">
        <v>1</v>
      </c>
      <c r="Z10" s="9" t="b">
        <v>1</v>
      </c>
      <c r="AA10" s="17" t="str">
        <f>"0, AT "&amp;(Table1735[[#This Row],[Fault_Time_sig]])&amp;"s ↑ 1, at "&amp;(Table1735[[#This Row],[Fault_Time_sig]]+Table1735[[#This Row],[Fault_Duration_sig]])&amp;"s ↓ 0"</f>
        <v>0, AT 5s ↑ 1, at 5.12s ↓ 0</v>
      </c>
      <c r="AB10" s="14" t="str">
        <f>"TRIP BRANCH 'DE330_WO330|NEAR' AT "&amp;Table1735[[#This Row],[NEAR]]+Table1735[[#This Row],[Fault_Time_sig]]&amp;"s;
TRIP BRANCH 'DE330_WO330|FAR' AT "&amp;Table1735[[#This Row],[FAR]]+Table1735[[#This Row],[Fault_Time_sig]]&amp;"s;
RESTORE BRANCH 'DE330_WO330|NEAR' AT "&amp;Table1735[[#This Row],[NEAR]]+Table1735[[#This Row],[RECLOSE]]+Table1735[[#This Row],[Fault_Time_sig]]&amp;"s;
RESTORE BRANCH 'DE330_WO330|FAR' AT "&amp;Table1735[[#This Row],[NEAR]]+Table1735[[#This Row],[RECLOSE]]+Table1735[[#This Row],[Fault_Time_sig]]&amp;"s;
APPLY FAULT TO BRANCH 'DE330_WO330' AT "&amp;Table1735[[#This Row],[Fault_Time_sig]]&amp;"s WITH "
&amp;"TYPE="&amp;Table1735[[#This Row],[Fault_Type_sig]]
&amp;IF(Table1735[[#This Row],[Fault_Duration_sig]]="","",", DURATION="&amp;Table1735[[#This Row],[Fault_Duration_sig]]&amp;"s")
&amp;IF(Table1735[[#This Row],[Distance]]="","",", DISTANCE="&amp;Table1735[[#This Row],[Distance]])</f>
        <v>TRIP BRANCH 'DE330_WO330|NEAR' AT 5.1s;
TRIP BRANCH 'DE330_WO330|FAR' AT 5.12s;
RESTORE BRANCH 'DE330_WO330|NEAR' AT 8.1s;
RESTORE BRANCH 'DE330_WO330|FAR' AT 8.1s;
APPLY FAULT TO BRANCH 'DE330_WO330' AT 5s WITH TYPE=7, DURATION=0.12s, DISTANCE=0.99</v>
      </c>
      <c r="AC10" s="5">
        <v>20</v>
      </c>
      <c r="AD10" s="6"/>
      <c r="AE10" s="6"/>
      <c r="AF10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5.1s;
TRIP BRANCH 'BAL220_WAR220|FAR' AT 5.12s;
APPLY FAULT TO BRANCH 'BAL220_WAR220' AT 5s WITH TYPE=7, RF_OFFSET=0, XF_OFFSET=0, DURATION=0.12s, DISTANCE=0.99</v>
      </c>
      <c r="AG10" s="6"/>
    </row>
    <row r="11" spans="1:36" ht="58.2" customHeight="1" x14ac:dyDescent="0.3">
      <c r="A11" s="9" t="s">
        <v>24</v>
      </c>
      <c r="B11" s="4" t="str">
        <f>IF(Table1735[[#This Row],[Fault_Type_sig]]=7,"Balanced Faults",IF(Table1735[[#This Row],[Fault_Type_sig]]=4,"Unbalanced Faults","Plant Trip"))</f>
        <v>Balanced Faults</v>
      </c>
      <c r="C11" s="4" t="s">
        <v>105</v>
      </c>
      <c r="D11" s="9">
        <v>10</v>
      </c>
      <c r="E11" s="9"/>
      <c r="F11" s="4" t="s">
        <v>105</v>
      </c>
      <c r="G11" s="5" t="str">
        <f t="shared" si="0"/>
        <v>SummerLow_Case1_010</v>
      </c>
      <c r="H11" s="5">
        <v>100</v>
      </c>
      <c r="I11" s="9" t="b">
        <v>1</v>
      </c>
      <c r="J11" s="9" t="b">
        <v>1</v>
      </c>
      <c r="K11" s="9">
        <v>0.1</v>
      </c>
      <c r="L11" s="9">
        <v>0.12</v>
      </c>
      <c r="M11" s="9">
        <v>0.25</v>
      </c>
      <c r="N11" s="9" t="b">
        <v>0</v>
      </c>
      <c r="O11" s="9">
        <v>3</v>
      </c>
      <c r="P11" s="9">
        <v>7</v>
      </c>
      <c r="Q11" s="9">
        <v>5</v>
      </c>
      <c r="R11" s="4">
        <f>IF(Table1735[[#This Row],[CB FAIL SCENARIO]],MAX(Table1735[[#This Row],[NEAR]:[CB FAIL]]),MAX(Table1735[[#This Row],[NEAR]:[FAR]]))</f>
        <v>0.12</v>
      </c>
      <c r="S11" s="9"/>
      <c r="T11" s="9">
        <v>0</v>
      </c>
      <c r="U11" s="9">
        <v>0</v>
      </c>
      <c r="V11" s="9">
        <v>0</v>
      </c>
      <c r="W11" s="4">
        <v>10</v>
      </c>
      <c r="X11" s="4">
        <v>0.99</v>
      </c>
      <c r="Y11" s="9" t="b">
        <v>1</v>
      </c>
      <c r="Z11" s="9" t="b">
        <v>1</v>
      </c>
      <c r="AA11" s="17" t="str">
        <f>"0, AT "&amp;(Table1735[[#This Row],[Fault_Time_sig]])&amp;"s ↑ 1, at "&amp;(Table1735[[#This Row],[Fault_Time_sig]]+Table1735[[#This Row],[Fault_Duration_sig]])&amp;"s ↓ 0"</f>
        <v>0, AT 5s ↑ 1, at 5.12s ↓ 0</v>
      </c>
      <c r="AB11" s="13" t="str">
        <f>"TRIP BRANCH 'JIN330_WO330|NEAR' AT "&amp;Table1735[[#This Row],[NEAR]]+Table1735[[#This Row],[Fault_Time_sig]]&amp;"s;
TRIP BRANCH 'JIN330_WO330|FAR' AT "&amp;Table1735[[#This Row],[FAR]]+Table1735[[#This Row],[Fault_Time_sig]]&amp;"s;
RESTORE BRANCH 'JIN330_WO330|NEAR' AT "&amp;Table1735[[#This Row],[NEAR]]+Table1735[[#This Row],[RECLOSE]]+Table1735[[#This Row],[Fault_Time_sig]]&amp;"s;
RESTORE BRANCH 'JIN330_WO330|FAR' AT "&amp;Table1735[[#This Row],[NEAR]]+Table1735[[#This Row],[RECLOSE]]+Table1735[[#This Row],[Fault_Time_sig]]&amp;"s;
APPLY FAULT TO BRANCH 'JIN330_WO330'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'JIN330_WO330|NEAR' AT 5.1s;
TRIP BRANCH 'JIN330_WO330|FAR' AT 5.12s;
RESTORE BRANCH 'JIN330_WO330|NEAR' AT 8.1s;
RESTORE BRANCH 'JIN330_WO330|FAR' AT 8.1s;
APPLY FAULT TO BRANCH 'JIN330_WO330' AT 5s WITH TYPE=7, RF_OFFSET=0, XF_OFFSET=0, DURATION=0.12s, DISTANCE=0.99</v>
      </c>
      <c r="AC11" s="5">
        <v>20</v>
      </c>
      <c r="AD11" s="6"/>
      <c r="AE11" s="6"/>
      <c r="AF11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5.1s;
TRIP BRANCH 'BAL220_WAR220|FAR' AT 5.12s;
APPLY FAULT TO BRANCH 'BAL220_WAR220' AT 5s WITH TYPE=7, RF_OFFSET=0, XF_OFFSET=0, DURATION=0.12s, DISTANCE=0.99</v>
      </c>
      <c r="AG11" s="6"/>
    </row>
    <row r="12" spans="1:36" ht="80.400000000000006" customHeight="1" x14ac:dyDescent="0.3">
      <c r="A12" s="9" t="s">
        <v>24</v>
      </c>
      <c r="B12" s="4" t="str">
        <f>IF(Table1735[[#This Row],[Fault_Type_sig]]=7,"Balanced Faults",IF(Table1735[[#This Row],[Fault_Type_sig]]=4,"Unbalanced Faults","Plant Trip"))</f>
        <v>Balanced Faults</v>
      </c>
      <c r="C12" s="4" t="s">
        <v>105</v>
      </c>
      <c r="D12" s="9">
        <v>11</v>
      </c>
      <c r="E12" s="9"/>
      <c r="F12" s="4" t="s">
        <v>105</v>
      </c>
      <c r="G12" s="5" t="str">
        <f t="shared" si="0"/>
        <v>SummerLow_Case1_011</v>
      </c>
      <c r="H12" s="5">
        <v>100</v>
      </c>
      <c r="I12" s="9" t="b">
        <v>1</v>
      </c>
      <c r="J12" s="9" t="b">
        <v>1</v>
      </c>
      <c r="K12" s="9">
        <v>0.25</v>
      </c>
      <c r="L12" s="9">
        <v>0.25</v>
      </c>
      <c r="M12" s="9">
        <v>0.25</v>
      </c>
      <c r="N12" s="9" t="b">
        <v>1</v>
      </c>
      <c r="O12" s="9">
        <v>3</v>
      </c>
      <c r="P12" s="9">
        <v>7</v>
      </c>
      <c r="Q12" s="9">
        <v>5</v>
      </c>
      <c r="R12" s="4">
        <f>IF(Table1735[[#This Row],[CB FAIL SCENARIO]],MAX(Table1735[[#This Row],[NEAR]:[CB FAIL]]),MAX(Table1735[[#This Row],[NEAR]:[FAR]]))</f>
        <v>0.25</v>
      </c>
      <c r="S12" s="9"/>
      <c r="T12" s="9">
        <v>0</v>
      </c>
      <c r="U12" s="9">
        <v>0</v>
      </c>
      <c r="V12" s="9">
        <v>0</v>
      </c>
      <c r="W12" s="4">
        <v>10</v>
      </c>
      <c r="X12" s="4">
        <v>0.01</v>
      </c>
      <c r="Y12" s="9" t="b">
        <v>1</v>
      </c>
      <c r="Z12" s="9" t="b">
        <v>1</v>
      </c>
      <c r="AA12" s="17" t="str">
        <f>"0, AT "&amp;(Table1735[[#This Row],[Fault_Time_sig]])&amp;"s ↑ 1, at "&amp;(Table1735[[#This Row],[Fault_Time_sig]]+Table1735[[#This Row],[Fault_Duration_sig]])&amp;"s ↓ 0"</f>
        <v>0, AT 5s ↑ 1, at 5.25s ↓ 0</v>
      </c>
      <c r="AB12" s="13" t="str">
        <f>"TRIP BRANCH 'DED330_MUR330|NEAR' AT "&amp;Table1735[[#This Row],[NEAR]]+Table1735[[#This Row],[Fault_Time_sig]]&amp;"s;
TRIP BRANCH 'DED330_MUR330|FAR' AT "&amp;Table1735[[#This Row],[FAR]]+Table1735[[#This Row],[Fault_Time_sig]]&amp;"s;
APPLY FAULT TO BRANCH 'DED330_MUR330'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'DED330_MUR330|NEAR' AT 5.25s;
TRIP BRANCH 'DED330_MUR330|FAR' AT 5.25s;
APPLY FAULT TO BRANCH 'DED330_MUR330' AT 5s WITH TYPE=7, RF_OFFSET=0, XF_OFFSET=0, DURATION=0.25s, DISTANCE=0.01</v>
      </c>
      <c r="AC12" s="5">
        <v>20</v>
      </c>
      <c r="AD12" s="6"/>
      <c r="AE12" s="6"/>
      <c r="AF12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5.25s;
TRIP BRANCH 'BAL220_WAR220|FAR' AT 5.25s;
APPLY FAULT TO BRANCH 'BAL220_WAR220' AT 5s WITH TYPE=7, RF_OFFSET=0, XF_OFFSET=0, DURATION=0.25s, DISTANCE=0.01</v>
      </c>
      <c r="AG12" s="6" t="s">
        <v>99</v>
      </c>
      <c r="AH12" s="13" t="str">
        <f>"TRIP BRANCH 'DEDTXDUMMY|NEAR' AT "&amp;10+Table1735[[#This Row],[Fault_Time_sig]]&amp;"s;
TRIP BRANCH 'DEDTXDUMMY|FAR' AT "&amp;10+Table1735[[#This Row],[Fault_Time_sig]]&amp;"s;
TRIP BRANCH 'DEDTXDUMMY2|NEAR' AT "&amp;10+Table1735[[#This Row],[Fault_Time_sig]]&amp;"s;
TRIP BRANCH 'DEDTXDUMMY2|FAR' AT "&amp;10+Table1735[[#This Row],[Fault_Time_sig]]&amp;"s;
TRIP BRANCH 'DED330_MUR330No2|NEAR' AT "&amp;10+Table1735[[#This Row],[Fault_Time_sig]]&amp;"s;
TRIP BRANCH 'DED330_MUR330No2|FAR' AT "&amp;10+Table1735[[#This Row],[Fault_Time_sig]]&amp;"s"</f>
        <v>TRIP BRANCH 'DEDTXDUMMY|NEAR' AT 15s;
TRIP BRANCH 'DEDTXDUMMY|FAR' AT 15s;
TRIP BRANCH 'DEDTXDUMMY2|NEAR' AT 15s;
TRIP BRANCH 'DEDTXDUMMY2|FAR' AT 15s;
TRIP BRANCH 'DED330_MUR330No2|NEAR' AT 15s;
TRIP BRANCH 'DED330_MUR330No2|FAR' AT 15s</v>
      </c>
    </row>
    <row r="13" spans="1:36" ht="43.2" customHeight="1" x14ac:dyDescent="0.3">
      <c r="A13" s="9" t="s">
        <v>24</v>
      </c>
      <c r="B13" s="4" t="str">
        <f>IF(Table1735[[#This Row],[Fault_Type_sig]]=7,"Balanced Faults",IF(Table1735[[#This Row],[Fault_Type_sig]]=4,"Unbalanced Faults","Plant Trip"))</f>
        <v>Balanced Faults</v>
      </c>
      <c r="C13" s="4" t="s">
        <v>105</v>
      </c>
      <c r="D13" s="9">
        <v>12</v>
      </c>
      <c r="E13" s="9"/>
      <c r="F13" s="4" t="s">
        <v>105</v>
      </c>
      <c r="G13" s="5" t="str">
        <f t="shared" si="0"/>
        <v>SummerLow_Case1_012</v>
      </c>
      <c r="H13" s="5">
        <v>100</v>
      </c>
      <c r="I13" s="9" t="b">
        <v>1</v>
      </c>
      <c r="J13" s="9" t="b">
        <v>1</v>
      </c>
      <c r="K13" s="9">
        <v>0.1</v>
      </c>
      <c r="L13" s="9">
        <v>0.12</v>
      </c>
      <c r="M13" s="9">
        <v>0.25</v>
      </c>
      <c r="N13" s="9" t="b">
        <v>0</v>
      </c>
      <c r="O13" s="9">
        <v>3</v>
      </c>
      <c r="P13" s="9">
        <v>7</v>
      </c>
      <c r="Q13" s="9">
        <v>5</v>
      </c>
      <c r="R13" s="4">
        <f>IF(Table1735[[#This Row],[CB FAIL SCENARIO]],MAX(Table1735[[#This Row],[NEAR]:[CB FAIL]]),MAX(Table1735[[#This Row],[NEAR]:[FAR]]))</f>
        <v>0.12</v>
      </c>
      <c r="S13" s="9"/>
      <c r="T13" s="9">
        <v>0</v>
      </c>
      <c r="U13" s="9">
        <v>0</v>
      </c>
      <c r="V13" s="9">
        <v>0</v>
      </c>
      <c r="W13" s="4">
        <v>10</v>
      </c>
      <c r="X13" s="4">
        <v>0.01</v>
      </c>
      <c r="Y13" s="9" t="b">
        <v>1</v>
      </c>
      <c r="Z13" s="9" t="b">
        <v>1</v>
      </c>
      <c r="AA13" s="17" t="str">
        <f>"0, AT "&amp;(Table1735[[#This Row],[Fault_Time_sig]])&amp;"s ↑ 1, at "&amp;(Table1735[[#This Row],[Fault_Time_sig]]+Table1735[[#This Row],[Fault_Duration_sig]])&amp;"s ↓ 0"</f>
        <v>0, AT 5s ↑ 1, at 5.12s ↓ 0</v>
      </c>
      <c r="AB13" s="13" t="str">
        <f>"TRIP BRANCH 'DED330_SM330|NEAR' AT "&amp;Table1735[[#This Row],[NEAR]]+Table1735[[#This Row],[Fault_Time_sig]]&amp;"s;
TRIP BRANCH 'DED330_SM330|FAR' AT "&amp;Table1735[[#This Row],[FAR]]+Table1735[[#This Row],[Fault_Time_sig]]&amp;"s;
APPLY FAULT TO BRANCH 'DED330_SM330'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'DED330_SM330|NEAR' AT 5.1s;
TRIP BRANCH 'DED330_SM330|FAR' AT 5.12s;
APPLY FAULT TO BRANCH 'DED330_SM330' AT 5s WITH TYPE=7, RF_OFFSET=0, XF_OFFSET=0, DURATION=0.12s, DISTANCE=0.01</v>
      </c>
      <c r="AC13" s="5">
        <v>20</v>
      </c>
      <c r="AD13" s="6"/>
      <c r="AE13" s="6"/>
      <c r="AF13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5.1s;
TRIP BRANCH 'BAL220_WAR220|FAR' AT 5.12s;
APPLY FAULT TO BRANCH 'BAL220_WAR220' AT 5s WITH TYPE=7, RF_OFFSET=0, XF_OFFSET=0, DURATION=0.12s, DISTANCE=0.01</v>
      </c>
      <c r="AG13" s="6"/>
    </row>
    <row r="14" spans="1:36" ht="43.2" customHeight="1" x14ac:dyDescent="0.3">
      <c r="A14" s="9" t="s">
        <v>24</v>
      </c>
      <c r="B14" s="4" t="str">
        <f>IF(Table1735[[#This Row],[Fault_Type_sig]]=7,"Balanced Faults",IF(Table1735[[#This Row],[Fault_Type_sig]]=4,"Unbalanced Faults","Plant Trip"))</f>
        <v>Balanced Faults</v>
      </c>
      <c r="C14" s="4" t="s">
        <v>105</v>
      </c>
      <c r="D14" s="9">
        <v>13</v>
      </c>
      <c r="E14" s="9"/>
      <c r="F14" s="4" t="s">
        <v>105</v>
      </c>
      <c r="G14" s="5" t="str">
        <f t="shared" si="0"/>
        <v>SummerLow_Case1_013</v>
      </c>
      <c r="H14" s="5">
        <v>100</v>
      </c>
      <c r="I14" s="9" t="b">
        <v>1</v>
      </c>
      <c r="J14" s="9" t="b">
        <v>1</v>
      </c>
      <c r="K14" s="9">
        <v>0.25</v>
      </c>
      <c r="L14" s="9">
        <v>0.25</v>
      </c>
      <c r="M14" s="9">
        <v>0.25</v>
      </c>
      <c r="N14" s="9" t="b">
        <v>1</v>
      </c>
      <c r="O14" s="9">
        <v>3</v>
      </c>
      <c r="P14" s="9">
        <v>7</v>
      </c>
      <c r="Q14" s="9">
        <v>5</v>
      </c>
      <c r="R14" s="4">
        <f>IF(Table1735[[#This Row],[CB FAIL SCENARIO]],MAX(Table1735[[#This Row],[NEAR]:[CB FAIL]]),MAX(Table1735[[#This Row],[NEAR]:[FAR]]))</f>
        <v>0.25</v>
      </c>
      <c r="S14" s="9"/>
      <c r="T14" s="9">
        <v>0</v>
      </c>
      <c r="U14" s="9">
        <v>0</v>
      </c>
      <c r="V14" s="9">
        <v>0</v>
      </c>
      <c r="W14" s="4">
        <v>10</v>
      </c>
      <c r="X14" s="4">
        <v>0.99</v>
      </c>
      <c r="Y14" s="9" t="b">
        <v>1</v>
      </c>
      <c r="Z14" s="9" t="b">
        <v>1</v>
      </c>
      <c r="AA14" s="17" t="str">
        <f>"0, AT "&amp;(Table1735[[#This Row],[Fault_Time_sig]])&amp;"s ↑ 1, at "&amp;(Table1735[[#This Row],[Fault_Time_sig]]+Table1735[[#This Row],[Fault_Duration_sig]])&amp;"s ↓ 0"</f>
        <v>0, AT 5s ↑ 1, at 5.25s ↓ 0</v>
      </c>
      <c r="AB14" s="13" t="str">
        <f>"TRIP BRANCH 'LWTM330_MUR330|NEAR' AT "&amp;Table1735[[#This Row],[NEAR]]+Table1735[[#This Row],[Fault_Time_sig]]&amp;"s;
TRIP BRANCH 'LWTM330_MUR330|FAR' AT "&amp;Table1735[[#This Row],[FAR]]+Table1735[[#This Row],[Fault_Time_sig]]&amp;"s;
APPLY FAULT TO BRANCH 'LWTM330_MUR330'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'LWTM330_MUR330|NEAR' AT 5.25s;
TRIP BRANCH 'LWTM330_MUR330|FAR' AT 5.25s;
APPLY FAULT TO BRANCH 'LWTM330_MUR330' AT 5s WITH TYPE=7, RF_OFFSET=0, XF_OFFSET=0, DURATION=0.25s, DISTANCE=0.99</v>
      </c>
      <c r="AC14" s="5">
        <v>20</v>
      </c>
      <c r="AD14" s="6"/>
      <c r="AE14" s="6"/>
      <c r="AF14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5.25s;
TRIP BRANCH 'BAL220_WAR220|FAR' AT 5.25s;
APPLY FAULT TO BRANCH 'BAL220_WAR220' AT 5s WITH TYPE=7, RF_OFFSET=0, XF_OFFSET=0, DURATION=0.25s, DISTANCE=0.99</v>
      </c>
      <c r="AG14" s="6"/>
    </row>
    <row r="15" spans="1:36" ht="43.2" customHeight="1" x14ac:dyDescent="0.3">
      <c r="A15" s="9" t="s">
        <v>24</v>
      </c>
      <c r="B15" s="4" t="str">
        <f>IF(Table1735[[#This Row],[Fault_Type_sig]]=7,"Balanced Faults",IF(Table1735[[#This Row],[Fault_Type_sig]]=4,"Unbalanced Faults","Plant Trip"))</f>
        <v>Balanced Faults</v>
      </c>
      <c r="C15" s="4" t="s">
        <v>105</v>
      </c>
      <c r="D15" s="9">
        <v>14</v>
      </c>
      <c r="E15" s="9"/>
      <c r="F15" s="4" t="s">
        <v>105</v>
      </c>
      <c r="G15" s="5" t="str">
        <f t="shared" si="0"/>
        <v>SummerLow_Case1_014</v>
      </c>
      <c r="H15" s="5">
        <v>100</v>
      </c>
      <c r="I15" s="9" t="b">
        <v>1</v>
      </c>
      <c r="J15" s="9" t="b">
        <v>1</v>
      </c>
      <c r="K15" s="9">
        <v>0.1</v>
      </c>
      <c r="L15" s="9">
        <v>0.12</v>
      </c>
      <c r="M15" s="9">
        <v>0.25</v>
      </c>
      <c r="N15" s="9" t="b">
        <v>0</v>
      </c>
      <c r="O15" s="9">
        <v>3</v>
      </c>
      <c r="P15" s="9">
        <v>7</v>
      </c>
      <c r="Q15" s="9">
        <v>5</v>
      </c>
      <c r="R15" s="4">
        <f>IF(Table1735[[#This Row],[CB FAIL SCENARIO]],MAX(Table1735[[#This Row],[NEAR]:[CB FAIL]]),MAX(Table1735[[#This Row],[NEAR]:[FAR]]))</f>
        <v>0.12</v>
      </c>
      <c r="S15" s="9"/>
      <c r="T15" s="9">
        <v>0</v>
      </c>
      <c r="U15" s="9">
        <v>0</v>
      </c>
      <c r="V15" s="9">
        <v>0</v>
      </c>
      <c r="W15" s="4">
        <v>10</v>
      </c>
      <c r="X15" s="4">
        <v>0.99</v>
      </c>
      <c r="Y15" s="9" t="b">
        <v>1</v>
      </c>
      <c r="Z15" s="9" t="b">
        <v>1</v>
      </c>
      <c r="AA15" s="17" t="str">
        <f>"0, AT "&amp;(Table1735[[#This Row],[Fault_Time_sig]])&amp;"s ↑ 1, at "&amp;(Table1735[[#This Row],[Fault_Time_sig]]+Table1735[[#This Row],[Fault_Duration_sig]])&amp;"s ↓ 0"</f>
        <v>0, AT 5s ↑ 1, at 5.12s ↓ 0</v>
      </c>
      <c r="AB15" s="13" t="str">
        <f>"TRIP BRANCH 'LWTM330_UPTM330|NEAR' AT "&amp;Table1735[[#This Row],[NEAR]]+Table1735[[#This Row],[Fault_Time_sig]]&amp;"s;
TRIP BRANCH 'LWTM330_UPTM330|FAR' AT "&amp;Table1735[[#This Row],[FAR]]+Table1735[[#This Row],[Fault_Time_sig]]&amp;"s;
APPLY FAULT TO BRANCH 'LWTM330_UPTM330'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'LWTM330_UPTM330|NEAR' AT 5.1s;
TRIP BRANCH 'LWTM330_UPTM330|FAR' AT 5.12s;
APPLY FAULT TO BRANCH 'LWTM330_UPTM330' AT 5s WITH TYPE=7, RF_OFFSET=0, XF_OFFSET=0, DURATION=0.12s, DISTANCE=0.99</v>
      </c>
      <c r="AC15" s="5">
        <v>20</v>
      </c>
      <c r="AD15" s="6"/>
      <c r="AE15" s="6"/>
      <c r="AF15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5.1s;
TRIP BRANCH 'BAL220_WAR220|FAR' AT 5.12s;
APPLY FAULT TO BRANCH 'BAL220_WAR220' AT 5s WITH TYPE=7, RF_OFFSET=0, XF_OFFSET=0, DURATION=0.12s, DISTANCE=0.99</v>
      </c>
      <c r="AG15" s="6"/>
    </row>
    <row r="16" spans="1:36" ht="43.2" customHeight="1" x14ac:dyDescent="0.3">
      <c r="A16" s="9" t="s">
        <v>24</v>
      </c>
      <c r="B16" s="4" t="str">
        <f>IF(Table1735[[#This Row],[Fault_Type_sig]]=7,"Balanced Faults",IF(Table1735[[#This Row],[Fault_Type_sig]]=4,"Unbalanced Faults","Plant Trip"))</f>
        <v>Balanced Faults</v>
      </c>
      <c r="C16" s="4" t="s">
        <v>105</v>
      </c>
      <c r="D16" s="9">
        <v>15</v>
      </c>
      <c r="E16" s="9"/>
      <c r="F16" s="4" t="s">
        <v>105</v>
      </c>
      <c r="G16" s="5" t="str">
        <f t="shared" si="0"/>
        <v>SummerLow_Case1_015</v>
      </c>
      <c r="H16" s="5">
        <v>100</v>
      </c>
      <c r="I16" s="9" t="b">
        <v>1</v>
      </c>
      <c r="J16" s="9" t="b">
        <v>1</v>
      </c>
      <c r="K16" s="9">
        <v>0.12</v>
      </c>
      <c r="L16" s="9">
        <v>0.22</v>
      </c>
      <c r="M16" s="9">
        <v>0.43</v>
      </c>
      <c r="N16" s="9" t="b">
        <v>0</v>
      </c>
      <c r="O16" s="9">
        <v>3</v>
      </c>
      <c r="P16" s="9">
        <v>7</v>
      </c>
      <c r="Q16" s="9">
        <v>5</v>
      </c>
      <c r="R16" s="4">
        <f>IF(Table1735[[#This Row],[CB FAIL SCENARIO]],MAX(Table1735[[#This Row],[NEAR]:[CB FAIL]]),MAX(Table1735[[#This Row],[NEAR]:[FAR]]))</f>
        <v>0.22</v>
      </c>
      <c r="S16" s="9"/>
      <c r="T16" s="9">
        <v>0</v>
      </c>
      <c r="U16" s="9">
        <v>0</v>
      </c>
      <c r="V16" s="9">
        <v>0</v>
      </c>
      <c r="W16" s="4">
        <v>10</v>
      </c>
      <c r="X16" s="4">
        <v>0.01</v>
      </c>
      <c r="Y16" s="9" t="b">
        <v>1</v>
      </c>
      <c r="Z16" s="9" t="b">
        <v>1</v>
      </c>
      <c r="AA16" s="17" t="str">
        <f>"0, AT "&amp;(Table1735[[#This Row],[Fault_Time_sig]])&amp;"s ↑ 1, at "&amp;(Table1735[[#This Row],[Fault_Time_sig]]+Table1735[[#This Row],[Fault_Duration_sig]])&amp;"s ↓ 0"</f>
        <v>0, AT 5s ↑ 1, at 5.22s ↓ 0</v>
      </c>
      <c r="AB16" s="13" t="str">
        <f>"TRIP BRANCH 'DED220_GLEN220|NEAR' AT "&amp;Table1735[[#This Row],[NEAR]]+Table1735[[#This Row],[Fault_Time_sig]]&amp;"s;
TRIP BRANCH 'DED220_GLEN220|FAR' AT "&amp;Table1735[[#This Row],[FAR]]+Table1735[[#This Row],[Fault_Time_sig]]&amp;"s;
APPLY FAULT TO BRANCH 'DED220_GLEN220'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'DED220_GLEN220|NEAR' AT 5.12s;
TRIP BRANCH 'DED220_GLEN220|FAR' AT 5.22s;
APPLY FAULT TO BRANCH 'DED220_GLEN220' AT 5s WITH TYPE=7, RF_OFFSET=0, XF_OFFSET=0, DURATION=0.22s, DISTANCE=0.01</v>
      </c>
      <c r="AC16" s="5">
        <v>20</v>
      </c>
      <c r="AD16" s="6"/>
      <c r="AE16" s="6"/>
      <c r="AF16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5.12s;
TRIP BRANCH 'BAL220_WAR220|FAR' AT 5.22s;
APPLY FAULT TO BRANCH 'BAL220_WAR220' AT 5s WITH TYPE=7, RF_OFFSET=0, XF_OFFSET=0, DURATION=0.22s, DISTANCE=0.01</v>
      </c>
      <c r="AG16" s="6"/>
    </row>
    <row r="17" spans="1:36" ht="43.2" customHeight="1" x14ac:dyDescent="0.3">
      <c r="A17" s="9" t="s">
        <v>24</v>
      </c>
      <c r="B17" s="4" t="str">
        <f>IF(Table1735[[#This Row],[Fault_Type_sig]]=7,"Balanced Faults",IF(Table1735[[#This Row],[Fault_Type_sig]]=4,"Unbalanced Faults","Plant Trip"))</f>
        <v>Balanced Faults</v>
      </c>
      <c r="C17" s="4" t="s">
        <v>105</v>
      </c>
      <c r="D17" s="9">
        <v>16</v>
      </c>
      <c r="E17" s="9"/>
      <c r="F17" s="4" t="s">
        <v>105</v>
      </c>
      <c r="G17" s="5" t="str">
        <f t="shared" si="0"/>
        <v>SummerLow_Case1_016</v>
      </c>
      <c r="H17" s="5">
        <v>100</v>
      </c>
      <c r="I17" s="9" t="b">
        <v>1</v>
      </c>
      <c r="J17" s="9" t="b">
        <v>1</v>
      </c>
      <c r="K17" s="9">
        <v>0.43</v>
      </c>
      <c r="L17" s="9">
        <v>0.43</v>
      </c>
      <c r="M17" s="9">
        <v>0.43</v>
      </c>
      <c r="N17" s="9" t="b">
        <v>1</v>
      </c>
      <c r="O17" s="9">
        <v>3</v>
      </c>
      <c r="P17" s="9">
        <v>7</v>
      </c>
      <c r="Q17" s="9">
        <v>5</v>
      </c>
      <c r="R17" s="4">
        <f>IF(Table1735[[#This Row],[CB FAIL SCENARIO]],MAX(Table1735[[#This Row],[NEAR]:[CB FAIL]]),MAX(Table1735[[#This Row],[NEAR]:[FAR]]))</f>
        <v>0.43</v>
      </c>
      <c r="S17" s="9"/>
      <c r="T17" s="9">
        <v>0</v>
      </c>
      <c r="U17" s="9">
        <v>0</v>
      </c>
      <c r="V17" s="9">
        <v>0</v>
      </c>
      <c r="W17" s="4">
        <v>10</v>
      </c>
      <c r="X17" s="4">
        <v>0.01</v>
      </c>
      <c r="Y17" s="9" t="b">
        <v>1</v>
      </c>
      <c r="Z17" s="9" t="b">
        <v>1</v>
      </c>
      <c r="AA17" s="17" t="str">
        <f>"0, AT "&amp;(Table1735[[#This Row],[Fault_Time_sig]])&amp;"s ↑ 1, at "&amp;(Table1735[[#This Row],[Fault_Time_sig]]+Table1735[[#This Row],[Fault_Duration_sig]])&amp;"s ↓ 0"</f>
        <v>0, AT 5s ↑ 1, at 5.43s ↓ 0</v>
      </c>
      <c r="AB17" s="13" t="str">
        <f>"TRIP BRANCH 'SHEP220_GLEN220|NEAR' AT "&amp;Table1735[[#This Row],[NEAR]]+Table1735[[#This Row],[Fault_Time_sig]]&amp;"s;
TRIP BRANCH 'SHEP220_GLEN220|FAR' AT "&amp;Table1735[[#This Row],[FAR]]+Table1735[[#This Row],[Fault_Time_sig]]&amp;"s;
APPLY FAULT TO BRANCH 'SHEP220_GLEN220'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'SHEP220_GLEN220|NEAR' AT 5.43s;
TRIP BRANCH 'SHEP220_GLEN220|FAR' AT 5.43s;
APPLY FAULT TO BRANCH 'SHEP220_GLEN220' AT 5s WITH TYPE=7, RF_OFFSET=0, XF_OFFSET=0, DURATION=0.43s, DISTANCE=0.01</v>
      </c>
      <c r="AC17" s="5">
        <v>20</v>
      </c>
      <c r="AD17" s="6"/>
      <c r="AE17" s="6"/>
      <c r="AF17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5.43s;
TRIP BRANCH 'BAL220_WAR220|FAR' AT 5.43s;
APPLY FAULT TO BRANCH 'BAL220_WAR220' AT 5s WITH TYPE=7, RF_OFFSET=0, XF_OFFSET=0, DURATION=0.43s, DISTANCE=0.01</v>
      </c>
      <c r="AG17" s="6"/>
    </row>
    <row r="18" spans="1:36" ht="43.2" customHeight="1" x14ac:dyDescent="0.3">
      <c r="A18" s="9" t="s">
        <v>24</v>
      </c>
      <c r="B18" s="4" t="str">
        <f>IF(Table1735[[#This Row],[Fault_Type_sig]]=7,"Balanced Faults",IF(Table1735[[#This Row],[Fault_Type_sig]]=4,"Unbalanced Faults","Plant Trip"))</f>
        <v>Balanced Faults</v>
      </c>
      <c r="C18" s="4" t="s">
        <v>105</v>
      </c>
      <c r="D18" s="9">
        <v>17</v>
      </c>
      <c r="E18" s="9"/>
      <c r="F18" s="4" t="s">
        <v>105</v>
      </c>
      <c r="G18" s="5" t="str">
        <f t="shared" si="0"/>
        <v>SummerLow_Case1_017</v>
      </c>
      <c r="H18" s="5">
        <v>100</v>
      </c>
      <c r="I18" s="9" t="b">
        <v>1</v>
      </c>
      <c r="J18" s="9" t="b">
        <v>1</v>
      </c>
      <c r="K18" s="9">
        <v>0.12</v>
      </c>
      <c r="L18" s="9">
        <v>0.22</v>
      </c>
      <c r="M18" s="9">
        <v>0.43</v>
      </c>
      <c r="N18" s="9" t="b">
        <v>0</v>
      </c>
      <c r="O18" s="9">
        <v>3</v>
      </c>
      <c r="P18" s="9">
        <v>7</v>
      </c>
      <c r="Q18" s="9">
        <v>5</v>
      </c>
      <c r="R18" s="4">
        <f>IF(Table1735[[#This Row],[CB FAIL SCENARIO]],MAX(Table1735[[#This Row],[NEAR]:[CB FAIL]]),MAX(Table1735[[#This Row],[NEAR]:[FAR]]))</f>
        <v>0.22</v>
      </c>
      <c r="S18" s="9"/>
      <c r="T18" s="9">
        <v>0</v>
      </c>
      <c r="U18" s="9">
        <v>0</v>
      </c>
      <c r="V18" s="9">
        <v>0</v>
      </c>
      <c r="W18" s="4">
        <v>10</v>
      </c>
      <c r="X18" s="4">
        <v>0.99</v>
      </c>
      <c r="Y18" s="9" t="b">
        <v>1</v>
      </c>
      <c r="Z18" s="9" t="b">
        <v>1</v>
      </c>
      <c r="AA18" s="17" t="str">
        <f>"0, AT "&amp;(Table1735[[#This Row],[Fault_Time_sig]])&amp;"s ↑ 1, at "&amp;(Table1735[[#This Row],[Fault_Time_sig]]+Table1735[[#This Row],[Fault_Duration_sig]])&amp;"s ↓ 0"</f>
        <v>0, AT 5s ↑ 1, at 5.22s ↓ 0</v>
      </c>
      <c r="AB18" s="13" t="str">
        <f>"TRIP BRANCH 'SHEP220_GLEN220|NEAR' AT "&amp;Table1735[[#This Row],[NEAR]]+Table1735[[#This Row],[Fault_Time_sig]]&amp;"s;
TRIP BRANCH 'SHEP220_GLEN220|FAR' AT "&amp;Table1735[[#This Row],[FAR]]+Table1735[[#This Row],[Fault_Time_sig]]&amp;"s;
APPLY FAULT TO BRANCH 'SHEP220_GLEN220'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'SHEP220_GLEN220|NEAR' AT 5.12s;
TRIP BRANCH 'SHEP220_GLEN220|FAR' AT 5.22s;
APPLY FAULT TO BRANCH 'SHEP220_GLEN220' AT 5s WITH TYPE=7, RF_OFFSET=0, XF_OFFSET=0, DURATION=0.22s, DISTANCE=0.99</v>
      </c>
      <c r="AC18" s="5">
        <v>20</v>
      </c>
      <c r="AD18" s="6"/>
      <c r="AE18" s="6"/>
      <c r="AF18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5.12s;
TRIP BRANCH 'BAL220_WAR220|FAR' AT 5.22s;
APPLY FAULT TO BRANCH 'BAL220_WAR220' AT 5s WITH TYPE=7, RF_OFFSET=0, XF_OFFSET=0, DURATION=0.22s, DISTANCE=0.99</v>
      </c>
      <c r="AG18" s="6"/>
    </row>
    <row r="19" spans="1:36" ht="39" customHeight="1" x14ac:dyDescent="0.3">
      <c r="A19" s="9" t="s">
        <v>24</v>
      </c>
      <c r="B19" s="4" t="str">
        <f>IF(Table1735[[#This Row],[Fault_Type_sig]]=7,"Balanced Faults",IF(Table1735[[#This Row],[Fault_Type_sig]]=4,"Unbalanced Faults","Plant Trip"))</f>
        <v>Balanced Faults</v>
      </c>
      <c r="C19" s="4" t="s">
        <v>105</v>
      </c>
      <c r="D19" s="9">
        <v>18</v>
      </c>
      <c r="E19" s="9"/>
      <c r="F19" s="4" t="s">
        <v>105</v>
      </c>
      <c r="G19" s="5" t="str">
        <f t="shared" si="0"/>
        <v>SummerLow_Case1_018</v>
      </c>
      <c r="H19" s="5">
        <v>100</v>
      </c>
      <c r="I19" s="9" t="b">
        <v>1</v>
      </c>
      <c r="J19" s="9" t="b">
        <v>1</v>
      </c>
      <c r="K19" s="9">
        <v>0.12</v>
      </c>
      <c r="L19" s="9">
        <v>0.22</v>
      </c>
      <c r="M19" s="9">
        <v>0.43</v>
      </c>
      <c r="N19" s="9" t="b">
        <v>0</v>
      </c>
      <c r="O19" s="9">
        <v>3</v>
      </c>
      <c r="P19" s="9">
        <v>7</v>
      </c>
      <c r="Q19" s="9">
        <v>5</v>
      </c>
      <c r="R19" s="4">
        <f>IF(Table1735[[#This Row],[CB FAIL SCENARIO]],MAX(Table1735[[#This Row],[NEAR]:[CB FAIL]]),MAX(Table1735[[#This Row],[NEAR]:[FAR]]))</f>
        <v>0.22</v>
      </c>
      <c r="S19" s="9"/>
      <c r="T19" s="9">
        <v>0</v>
      </c>
      <c r="U19" s="9">
        <v>0</v>
      </c>
      <c r="V19" s="9">
        <v>0</v>
      </c>
      <c r="W19" s="4">
        <v>10</v>
      </c>
      <c r="X19" s="4">
        <v>0.01</v>
      </c>
      <c r="Y19" s="9" t="b">
        <v>1</v>
      </c>
      <c r="Z19" s="9" t="b">
        <v>1</v>
      </c>
      <c r="AA19" s="17" t="str">
        <f>"0, AT "&amp;(Table1735[[#This Row],[Fault_Time_sig]])&amp;"s ↑ 1, at "&amp;(Table1735[[#This Row],[Fault_Time_sig]]+Table1735[[#This Row],[Fault_Duration_sig]])&amp;"s ↓ 0"</f>
        <v>0, AT 5s ↑ 1, at 5.22s ↓ 0</v>
      </c>
      <c r="AB19" s="13" t="str">
        <f>"TRIP BRANCH 'DED220_MTB220|NEAR' AT "&amp;Table1735[[#This Row],[NEAR]]+Table1735[[#This Row],[Fault_Time_sig]]&amp;"s;
TRIP BRANCH 'DED220_MTB220|FAR' AT "&amp;Table1735[[#This Row],[FAR]]+Table1735[[#This Row],[Fault_Time_sig]]&amp;"s;
APPLY FAULT TO BRANCH 'DED220_MTB220'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'DED220_MTB220|NEAR' AT 5.12s;
TRIP BRANCH 'DED220_MTB220|FAR' AT 5.22s;
APPLY FAULT TO BRANCH 'DED220_MTB220' AT 5s WITH TYPE=7, RF_OFFSET=0, XF_OFFSET=0, DURATION=0.22s, DISTANCE=0.01</v>
      </c>
      <c r="AC19" s="5">
        <v>20</v>
      </c>
      <c r="AD19" s="6"/>
      <c r="AE19" s="6"/>
      <c r="AF19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5.12s;
TRIP BRANCH 'BAL220_WAR220|FAR' AT 5.22s;
APPLY FAULT TO BRANCH 'BAL220_WAR220' AT 5s WITH TYPE=7, RF_OFFSET=0, XF_OFFSET=0, DURATION=0.22s, DISTANCE=0.01</v>
      </c>
      <c r="AG19" s="6"/>
    </row>
    <row r="20" spans="1:36" ht="54" customHeight="1" x14ac:dyDescent="0.3">
      <c r="A20" s="9" t="s">
        <v>24</v>
      </c>
      <c r="B20" s="4" t="str">
        <f>IF(Table1735[[#This Row],[Fault_Type_sig]]=7,"Balanced Faults",IF(Table1735[[#This Row],[Fault_Type_sig]]=4,"Unbalanced Faults","Plant Trip"))</f>
        <v>Balanced Faults</v>
      </c>
      <c r="C20" s="4" t="s">
        <v>105</v>
      </c>
      <c r="D20" s="9">
        <v>19</v>
      </c>
      <c r="E20" s="9"/>
      <c r="F20" s="4" t="s">
        <v>105</v>
      </c>
      <c r="G20" s="5" t="str">
        <f t="shared" si="0"/>
        <v>SummerLow_Case1_019</v>
      </c>
      <c r="H20" s="5">
        <v>100</v>
      </c>
      <c r="I20" s="9" t="b">
        <v>1</v>
      </c>
      <c r="J20" s="9" t="b">
        <v>1</v>
      </c>
      <c r="K20" s="9">
        <v>0.43</v>
      </c>
      <c r="L20" s="9">
        <v>0.43</v>
      </c>
      <c r="M20" s="9">
        <v>0.43</v>
      </c>
      <c r="N20" s="9" t="b">
        <v>1</v>
      </c>
      <c r="O20" s="9">
        <v>3</v>
      </c>
      <c r="P20" s="9">
        <v>7</v>
      </c>
      <c r="Q20" s="9">
        <v>5</v>
      </c>
      <c r="R20" s="4">
        <f>IF(Table1735[[#This Row],[CB FAIL SCENARIO]],MAX(Table1735[[#This Row],[NEAR]:[CB FAIL]]),MAX(Table1735[[#This Row],[NEAR]:[FAR]]))</f>
        <v>0.43</v>
      </c>
      <c r="S20" s="9"/>
      <c r="T20" s="9">
        <v>0</v>
      </c>
      <c r="U20" s="9">
        <v>0</v>
      </c>
      <c r="V20" s="9">
        <v>0</v>
      </c>
      <c r="W20" s="4">
        <v>10</v>
      </c>
      <c r="X20" s="4">
        <v>0.99</v>
      </c>
      <c r="Y20" s="9" t="b">
        <v>1</v>
      </c>
      <c r="Z20" s="9" t="b">
        <v>1</v>
      </c>
      <c r="AA20" s="17" t="str">
        <f>"0, AT "&amp;(Table1735[[#This Row],[Fault_Time_sig]])&amp;"s ↑ 1, at "&amp;(Table1735[[#This Row],[Fault_Time_sig]]+Table1735[[#This Row],[Fault_Duration_sig]])&amp;"s ↓ 0"</f>
        <v>0, AT 5s ↑ 1, at 5.43s ↓ 0</v>
      </c>
      <c r="AB20" s="13" t="str">
        <f>"TRIP BRANCH 'FO220_SHEP220|NEAR' AT "&amp;Table1735[[#This Row],[NEAR]]+Table1735[[#This Row],[Fault_Time_sig]]&amp;"s;
TRIP BRANCH 'FO220_SHEP220|FAR' AT "&amp;Table1735[[#This Row],[FAR]]+Table1735[[#This Row],[Fault_Time_sig]]&amp;"s;
APPLY FAULT TO BRANCH 'FO220_SHEP220'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'FO220_SHEP220|NEAR' AT 5.43s;
TRIP BRANCH 'FO220_SHEP220|FAR' AT 5.43s;
APPLY FAULT TO BRANCH 'FO220_SHEP220' AT 5s WITH TYPE=7, RF_OFFSET=0, XF_OFFSET=0, DURATION=0.43s, DISTANCE=0.99</v>
      </c>
      <c r="AC20" s="5">
        <v>20</v>
      </c>
      <c r="AD20" s="6"/>
      <c r="AE20" s="6"/>
      <c r="AF20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5.43s;
TRIP BRANCH 'BAL220_WAR220|FAR' AT 5.43s;
APPLY FAULT TO BRANCH 'BAL220_WAR220' AT 5s WITH TYPE=7, RF_OFFSET=0, XF_OFFSET=0, DURATION=0.43s, DISTANCE=0.99</v>
      </c>
      <c r="AG20" s="6"/>
    </row>
    <row r="21" spans="1:36" ht="359.4" customHeight="1" x14ac:dyDescent="0.3">
      <c r="A21" s="9" t="s">
        <v>24</v>
      </c>
      <c r="B21" s="4" t="str">
        <f>IF(Table1735[[#This Row],[Fault_Type_sig]]=7,"Balanced Faults",IF(Table1735[[#This Row],[Fault_Type_sig]]=4,"Unbalanced Faults","Plant Trip"))</f>
        <v>Balanced Faults</v>
      </c>
      <c r="C21" s="4" t="s">
        <v>105</v>
      </c>
      <c r="D21" s="9">
        <v>20</v>
      </c>
      <c r="E21" s="9"/>
      <c r="F21" s="4" t="s">
        <v>105</v>
      </c>
      <c r="G21" s="5" t="str">
        <f t="shared" si="0"/>
        <v>SummerLow_Case1_020</v>
      </c>
      <c r="H21" s="5">
        <v>100</v>
      </c>
      <c r="I21" s="9" t="b">
        <v>1</v>
      </c>
      <c r="J21" s="9" t="b">
        <v>1</v>
      </c>
      <c r="K21" s="9">
        <v>0.12</v>
      </c>
      <c r="L21" s="9">
        <v>0.22</v>
      </c>
      <c r="M21" s="9">
        <v>0.43</v>
      </c>
      <c r="N21" s="9" t="b">
        <v>0</v>
      </c>
      <c r="O21" s="9">
        <v>3</v>
      </c>
      <c r="P21" s="9">
        <v>7</v>
      </c>
      <c r="Q21" s="9">
        <v>5</v>
      </c>
      <c r="R21" s="4">
        <f>IF(Table1735[[#This Row],[CB FAIL SCENARIO]],MAX(Table1735[[#This Row],[NEAR]:[CB FAIL]]),MAX(Table1735[[#This Row],[NEAR]:[FAR]]))</f>
        <v>0.22</v>
      </c>
      <c r="S21" s="9"/>
      <c r="T21" s="9">
        <v>0</v>
      </c>
      <c r="U21" s="9">
        <v>0</v>
      </c>
      <c r="V21" s="9">
        <v>0</v>
      </c>
      <c r="W21" s="4">
        <v>10</v>
      </c>
      <c r="X21" s="4">
        <v>0.01</v>
      </c>
      <c r="Y21" s="9" t="b">
        <v>1</v>
      </c>
      <c r="Z21" s="9" t="b">
        <v>1</v>
      </c>
      <c r="AA21" s="17" t="str">
        <f>"0, AT "&amp;(Table1735[[#This Row],[Fault_Time_sig]])&amp;"s ↑ 1, at "&amp;(Table1735[[#This Row],[Fault_Time_sig]]+Table1735[[#This Row],[Fault_Duration_sig]])&amp;"s ↓ 0"</f>
        <v>0, AT 5s ↑ 1, at 5.22s ↓ 0</v>
      </c>
      <c r="AB21" s="18" t="s">
        <v>100</v>
      </c>
      <c r="AC21" s="5">
        <v>20</v>
      </c>
      <c r="AD21" s="6"/>
      <c r="AE21" s="6"/>
      <c r="AF21" s="13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5.12s;
TRIP BRANCH 'BAL220_WAR220|FAR' AT 5.22s;
APPLY FAULT TO BRANCH 'BAL220_WAR220' AT 5s WITH TYPE=7, RF_OFFSET=0, XF_OFFSET=0, DURATION=0.22s, DISTANCE=0.01</v>
      </c>
      <c r="AG21" s="13" t="s">
        <v>101</v>
      </c>
      <c r="AH21" s="15" t="str">
        <f>"TRIP BRANCH 'MURRA_HOTS|NEAR' AT "&amp;0.2+Table1735[[#This Row],[Fault_Time_sig]]&amp;"s;
TRIP BRANCH 'MURRA_HOTS|FAR' AT "&amp;0.2+Table1735[[#This Row],[Fault_Time_sig]]&amp;"s;
TRIP BRANCH 'MURRA_MRTS|NEAR' AT "&amp;0.18+Table1735[[#This Row],[Fault_Time_sig]]&amp;"s;
TRIP BRANCH 'MURRA_MRTS|FAR' AT "&amp;0.18+Table1735[[#This Row],[Fault_Time_sig]]&amp;"s;
TRIP BRANCH 'MURRA_KIAM|NEAR' AT "&amp;0.18+Table1735[[#This Row],[Fault_Time_sig]]&amp;"s;
TRIP BRANCH 'MURRA_KIAM|FAR' AT "&amp;0.18+Table1735[[#This Row],[Fault_Time_sig]]&amp;"s"</f>
        <v>TRIP BRANCH 'MURRA_HOTS|NEAR' AT 5.2s;
TRIP BRANCH 'MURRA_HOTS|FAR' AT 5.2s;
TRIP BRANCH 'MURRA_MRTS|NEAR' AT 5.18s;
TRIP BRANCH 'MURRA_MRTS|FAR' AT 5.18s;
TRIP BRANCH 'MURRA_KIAM|NEAR' AT 5.18s;
TRIP BRANCH 'MURRA_KIAM|FAR' AT 5.18s</v>
      </c>
      <c r="AI21" t="str">
        <f>"TRIP MACHINE 'WBTSG1' AT "&amp;0.2+Table1735[[#This Row],[Fault_Time_sig]]&amp;"s;
TRIP MACHINE 'WBTSG2' AT "&amp;0.2+Table1735[[#This Row],[Fault_Time_sig]]&amp;"s;
TRIP MACHINE 'WBTSG3' AT "&amp;0.2+Table1735[[#This Row],[Fault_Time_sig]]&amp;"s;
TRIP MACHINE 'WBTSG4' AT "&amp;0.2+Table1735[[#This Row],[Fault_Time_sig]]&amp;"s;
TRIP MACHINE 'WBTSG5' AT "&amp;0.2+Table1735[[#This Row],[Fault_Time_sig]]&amp;"s"</f>
        <v>TRIP MACHINE 'WBTSG1' AT 5.2s;
TRIP MACHINE 'WBTSG2' AT 5.2s;
TRIP MACHINE 'WBTSG3' AT 5.2s;
TRIP MACHINE 'WBTSG4' AT 5.2s;
TRIP MACHINE 'WBTSG5' AT 5.2s</v>
      </c>
      <c r="AJ21" t="str">
        <f>"TRIP MACHINE 'CROW' AT "&amp;0.18+Table1735[[#This Row],[Fault_Time_sig]]&amp;"s;
TRIP MACHINE 'BULGG1' AT "&amp;0.18+Table1735[[#This Row],[Fault_Time_sig]]&amp;"s;
TRIP MACHINE 'BULGG2' AT "&amp;0.18+Table1735[[#This Row],[Fault_Time_sig]]&amp;"s;
TRIP MACHINE 'BULGBESS' AT "&amp;0.18+Table1735[[#This Row],[Fault_Time_sig]]&amp;"s"</f>
        <v>TRIP MACHINE 'CROW' AT 5.18s;
TRIP MACHINE 'BULGG1' AT 5.18s;
TRIP MACHINE 'BULGG2' AT 5.18s;
TRIP MACHINE 'BULGBESS' AT 5.18s</v>
      </c>
    </row>
    <row r="22" spans="1:36" ht="57.6" x14ac:dyDescent="0.3">
      <c r="A22" s="9" t="s">
        <v>24</v>
      </c>
      <c r="B22" s="4" t="str">
        <f>IF(Table1735[[#This Row],[Fault_Type_sig]]=7,"Balanced Faults",IF(Table1735[[#This Row],[Fault_Type_sig]]=4,"Unbalanced Faults","Plant Trip"))</f>
        <v>Balanced Faults</v>
      </c>
      <c r="C22" s="4" t="s">
        <v>105</v>
      </c>
      <c r="D22" s="9">
        <v>21</v>
      </c>
      <c r="E22" s="9"/>
      <c r="F22" s="4" t="s">
        <v>105</v>
      </c>
      <c r="G22" s="5" t="str">
        <f t="shared" si="0"/>
        <v>SummerLow_Case1_021</v>
      </c>
      <c r="H22" s="5">
        <v>100</v>
      </c>
      <c r="I22" s="9" t="b">
        <v>1</v>
      </c>
      <c r="J22" s="9" t="b">
        <v>1</v>
      </c>
      <c r="K22" s="9">
        <v>0.12</v>
      </c>
      <c r="L22" s="9">
        <v>0.22</v>
      </c>
      <c r="M22" s="9">
        <v>0.43</v>
      </c>
      <c r="N22" s="9" t="b">
        <v>0</v>
      </c>
      <c r="O22" s="9">
        <v>3</v>
      </c>
      <c r="P22" s="9">
        <v>7</v>
      </c>
      <c r="Q22" s="9">
        <v>5</v>
      </c>
      <c r="R22" s="4">
        <f>IF(Table1735[[#This Row],[CB FAIL SCENARIO]],MAX(Table1735[[#This Row],[NEAR]:[CB FAIL]]),MAX(Table1735[[#This Row],[NEAR]:[FAR]]))</f>
        <v>0.22</v>
      </c>
      <c r="S22" s="9"/>
      <c r="T22" s="9">
        <v>0</v>
      </c>
      <c r="U22" s="9">
        <v>0</v>
      </c>
      <c r="V22" s="9">
        <v>0</v>
      </c>
      <c r="W22" s="4">
        <v>10</v>
      </c>
      <c r="X22" s="4">
        <v>0.01</v>
      </c>
      <c r="Y22" s="9" t="b">
        <v>1</v>
      </c>
      <c r="Z22" s="9" t="b">
        <v>1</v>
      </c>
      <c r="AA22" s="17" t="str">
        <f>"0, AT "&amp;(Table1735[[#This Row],[Fault_Time_sig]])&amp;"s ↑ 1, at "&amp;(Table1735[[#This Row],[Fault_Time_sig]]+Table1735[[#This Row],[Fault_Duration_sig]])&amp;"s ↓ 0"</f>
        <v>0, AT 5s ↑ 1, at 5.22s ↓ 0</v>
      </c>
      <c r="AB22" s="13" t="str">
        <f>"TRIP BRANCH 'ELD220_THO220|NEAR' AT "&amp;Table1735[[#This Row],[NEAR]]+Table1735[[#This Row],[Fault_Time_sig]]&amp;"s;
TRIP BRANCH 'ELD220_THO220|FAR' AT "&amp;Table1735[[#This Row],[FAR]]+Table1735[[#This Row],[Fault_Time_sig]]&amp;"s;
APPLY FAULT TO BRANCH 'ELD220_THO220'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'ELD220_THO220|NEAR' AT 5.12s;
TRIP BRANCH 'ELD220_THO220|FAR' AT 5.22s;
APPLY FAULT TO BRANCH 'ELD220_THO220' AT 5s WITH TYPE=7, RF_OFFSET=0, XF_OFFSET=0, DURATION=0.22s, DISTANCE=0.01</v>
      </c>
      <c r="AC22" s="5">
        <v>20</v>
      </c>
      <c r="AD22" s="6"/>
      <c r="AE22" s="6"/>
      <c r="AF22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5.12s;
TRIP BRANCH 'BAL220_WAR220|FAR' AT 5.22s;
APPLY FAULT TO BRANCH 'BAL220_WAR220' AT 5s WITH TYPE=7, RF_OFFSET=0, XF_OFFSET=0, DURATION=0.22s, DISTANCE=0.01</v>
      </c>
      <c r="AG22" s="6"/>
    </row>
    <row r="23" spans="1:36" ht="152.4" customHeight="1" x14ac:dyDescent="0.3">
      <c r="A23" s="9" t="s">
        <v>24</v>
      </c>
      <c r="B23" s="4" t="str">
        <f>IF(Table1735[[#This Row],[Fault_Type_sig]]=7,"Balanced Faults",IF(Table1735[[#This Row],[Fault_Type_sig]]=4,"Unbalanced Faults","Plant Trip"))</f>
        <v>Balanced Faults</v>
      </c>
      <c r="C23" s="4" t="s">
        <v>105</v>
      </c>
      <c r="D23" s="9">
        <v>22</v>
      </c>
      <c r="E23" s="9"/>
      <c r="F23" s="4" t="s">
        <v>105</v>
      </c>
      <c r="G23" s="5" t="str">
        <f t="shared" si="0"/>
        <v>SummerLow_Case1_022</v>
      </c>
      <c r="H23" s="5">
        <v>100</v>
      </c>
      <c r="I23" s="9" t="b">
        <v>1</v>
      </c>
      <c r="J23" s="9" t="b">
        <v>1</v>
      </c>
      <c r="K23" s="9">
        <v>7.6999999999999999E-2</v>
      </c>
      <c r="L23" s="9">
        <v>1.087</v>
      </c>
      <c r="M23" s="9">
        <v>1.087</v>
      </c>
      <c r="N23" s="9" t="b">
        <v>1</v>
      </c>
      <c r="O23" s="9">
        <v>3</v>
      </c>
      <c r="P23" s="9">
        <v>7</v>
      </c>
      <c r="Q23" s="9">
        <v>5</v>
      </c>
      <c r="R23" s="4">
        <f>IF(Table1735[[#This Row],[CB FAIL SCENARIO]],MAX(Table1735[[#This Row],[NEAR]:[CB FAIL]]),MAX(Table1735[[#This Row],[NEAR]:[FAR]]))</f>
        <v>1.087</v>
      </c>
      <c r="S23" s="9"/>
      <c r="T23" s="9">
        <v>0</v>
      </c>
      <c r="U23" s="9">
        <v>0</v>
      </c>
      <c r="V23" s="9">
        <v>0</v>
      </c>
      <c r="W23" s="4">
        <v>10</v>
      </c>
      <c r="X23" s="4">
        <v>0.01</v>
      </c>
      <c r="Y23" s="9" t="b">
        <v>1</v>
      </c>
      <c r="Z23" s="9" t="b">
        <v>1</v>
      </c>
      <c r="AA23" s="17" t="str">
        <f>"0, AT "&amp;(Table1735[[#This Row],[Fault_Time_sig]])&amp;"s ↑ 1, at "&amp;(Table1735[[#This Row],[Fault_Time_sig]]+Table1735[[#This Row],[Fault_Duration_sig]])&amp;"s ↓ 0"</f>
        <v>0, AT 5s ↑ 1, at 6.087s ↓ 0</v>
      </c>
      <c r="AB23" s="13" t="str">
        <f>"TRIP BRANCH 'GLEN66_WAR66|NEAR' AT "&amp;Table1735[[#This Row],[NEAR]]+Table1735[[#This Row],[Fault_Time_sig]]&amp;"s;
TRIP BRANCH 'GLEN66_WAR66|FAR' AT "&amp;Table1735[[#This Row],[FAR]]+Table1735[[#This Row],[Fault_Time_sig]]&amp;"s;
APPLY FAULT TO BRANCH 'GLEN66_WAR66'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'GLEN66_WAR66|NEAR' AT 5.077s;
TRIP BRANCH 'GLEN66_WAR66|FAR' AT 6.087s;
APPLY FAULT TO BRANCH 'GLEN66_WAR66' AT 5s WITH TYPE=7, RF_OFFSET=0, XF_OFFSET=0, DURATION=1.087s, DISTANCE=0.01</v>
      </c>
      <c r="AC23" s="5">
        <v>20</v>
      </c>
      <c r="AD23" s="6"/>
      <c r="AE23" s="6"/>
      <c r="AF23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5.077s;
TRIP BRANCH 'BAL220_WAR220|FAR' AT 6.087s;
APPLY FAULT TO BRANCH 'BAL220_WAR220' AT 5s WITH TYPE=7, RF_OFFSET=0, XF_OFFSET=0, DURATION=1.087s, DISTANCE=0.01</v>
      </c>
      <c r="AG23" s="6"/>
    </row>
    <row r="24" spans="1:36" ht="85.8" customHeight="1" x14ac:dyDescent="0.3">
      <c r="A24" s="9" t="s">
        <v>24</v>
      </c>
      <c r="B24" s="4" t="str">
        <f>IF(Table1735[[#This Row],[Fault_Type_sig]]=7,"Balanced Faults",IF(Table1735[[#This Row],[Fault_Type_sig]]=4,"Unbalanced Faults","Plant Trip"))</f>
        <v>Balanced Faults</v>
      </c>
      <c r="C24" s="4" t="s">
        <v>105</v>
      </c>
      <c r="D24" s="9">
        <v>23</v>
      </c>
      <c r="E24" s="9"/>
      <c r="F24" s="4" t="s">
        <v>105</v>
      </c>
      <c r="G24" s="5" t="str">
        <f t="shared" si="0"/>
        <v>SummerLow_Case1_023</v>
      </c>
      <c r="H24" s="5">
        <v>100</v>
      </c>
      <c r="I24" s="9" t="b">
        <v>1</v>
      </c>
      <c r="J24" s="9" t="b">
        <v>1</v>
      </c>
      <c r="K24" s="9">
        <v>0.14000000000000001</v>
      </c>
      <c r="L24" s="9">
        <v>0.54</v>
      </c>
      <c r="M24" s="9"/>
      <c r="N24" s="9" t="b">
        <v>0</v>
      </c>
      <c r="O24" s="9">
        <v>3</v>
      </c>
      <c r="P24" s="9">
        <v>7</v>
      </c>
      <c r="Q24" s="9">
        <v>5</v>
      </c>
      <c r="R24" s="4">
        <f>IF(Table1735[[#This Row],[CB FAIL SCENARIO]],MAX(Table1735[[#This Row],[NEAR]:[CB FAIL]]),MAX(Table1735[[#This Row],[NEAR]:[FAR]]))</f>
        <v>0.54</v>
      </c>
      <c r="S24" s="9"/>
      <c r="T24" s="9">
        <v>0</v>
      </c>
      <c r="U24" s="9">
        <v>0</v>
      </c>
      <c r="V24" s="9">
        <v>0</v>
      </c>
      <c r="W24" s="4">
        <v>10</v>
      </c>
      <c r="X24" s="4">
        <v>0.99</v>
      </c>
      <c r="Y24" s="9" t="b">
        <v>1</v>
      </c>
      <c r="Z24" s="9" t="b">
        <v>1</v>
      </c>
      <c r="AA24" s="17" t="str">
        <f>"0, AT "&amp;(Table1735[[#This Row],[Fault_Time_sig]])&amp;"s ↑ 1, at "&amp;(Table1735[[#This Row],[Fault_Time_sig]]+Table1735[[#This Row],[Fault_Duration_sig]])&amp;"s ↓ 0"</f>
        <v>0, AT 5s ↑ 1, at 5.54s ↓ 0</v>
      </c>
      <c r="AB24" s="13" t="str">
        <f>"TRIP BRANCH 'NUR66_SHEP66|NEAR' AT "&amp;Table1735[[#This Row],[NEAR]]+Table1735[[#This Row],[Fault_Time_sig]]&amp;"s;
TRIP BRANCH 'NUR66_SHEP66|FAR' AT "&amp;Table1735[[#This Row],[FAR]]+Table1735[[#This Row],[Fault_Time_sig]]&amp;"s;
APPLY FAULT TO BRANCH 'NUR66_SHEP66'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'NUR66_SHEP66|NEAR' AT 5.14s;
TRIP BRANCH 'NUR66_SHEP66|FAR' AT 5.54s;
APPLY FAULT TO BRANCH 'NUR66_SHEP66' AT 5s WITH TYPE=7, RF_OFFSET=0, XF_OFFSET=0, DURATION=0.54s, DISTANCE=0.99</v>
      </c>
      <c r="AC24" s="5">
        <v>20</v>
      </c>
      <c r="AD24" s="6"/>
      <c r="AE24" s="6"/>
      <c r="AF24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5.14s;
TRIP BRANCH 'BAL220_WAR220|FAR' AT 5.54s;
APPLY FAULT TO BRANCH 'BAL220_WAR220' AT 5s WITH TYPE=7, RF_OFFSET=0, XF_OFFSET=0, DURATION=0.54s, DISTANCE=0.99</v>
      </c>
      <c r="AG24" s="6"/>
    </row>
    <row r="25" spans="1:36" ht="114.6" customHeight="1" x14ac:dyDescent="0.3">
      <c r="A25" s="4" t="s">
        <v>24</v>
      </c>
      <c r="B25" s="4" t="str">
        <f>IF(Table1735[[#This Row],[Fault_Type_sig]]=7,"Balanced Faults",IF(Table1735[[#This Row],[Fault_Type_sig]]=4,"Unbalanced Faults","Plant Trip"))</f>
        <v>Unbalanced Faults</v>
      </c>
      <c r="C25" s="4" t="s">
        <v>105</v>
      </c>
      <c r="D25" s="4">
        <v>24</v>
      </c>
      <c r="E25" s="4"/>
      <c r="F25" s="4" t="s">
        <v>105</v>
      </c>
      <c r="G25" s="5" t="str">
        <f t="shared" si="0"/>
        <v>SummerLow_Case1_024</v>
      </c>
      <c r="H25" s="5">
        <v>100</v>
      </c>
      <c r="I25" s="4" t="b">
        <v>1</v>
      </c>
      <c r="J25" s="4" t="b">
        <v>1</v>
      </c>
      <c r="K25" s="4">
        <v>0.12</v>
      </c>
      <c r="L25" s="4">
        <v>0.22</v>
      </c>
      <c r="M25" s="4"/>
      <c r="N25" s="9" t="b">
        <v>0</v>
      </c>
      <c r="O25" s="4">
        <v>3</v>
      </c>
      <c r="P25" s="4">
        <v>4</v>
      </c>
      <c r="Q25" s="4">
        <v>5</v>
      </c>
      <c r="R25" s="4">
        <f>IF(Table1735[[#This Row],[CB FAIL SCENARIO]],MAX(Table1735[[#This Row],[NEAR]:[CB FAIL]]),MAX(Table1735[[#This Row],[NEAR]:[FAR]]))</f>
        <v>0.22</v>
      </c>
      <c r="S25" s="4"/>
      <c r="T25" s="4">
        <v>0</v>
      </c>
      <c r="U25" s="4">
        <v>0</v>
      </c>
      <c r="V25" s="4">
        <v>0</v>
      </c>
      <c r="W25" s="4">
        <v>10</v>
      </c>
      <c r="X25" s="4">
        <v>0.99</v>
      </c>
      <c r="Y25" s="4" t="b">
        <v>1</v>
      </c>
      <c r="Z25" s="4" t="b">
        <v>1</v>
      </c>
      <c r="AA25" s="4" t="str">
        <f>"0, AT "&amp;(Table1735[[#This Row],[Fault_Time_sig]])&amp;"s ↑ 1, at "&amp;(Table1735[[#This Row],[Fault_Time_sig]]+Table1735[[#This Row],[Fault_Duration_sig]])&amp;"s ↓ 0"</f>
        <v>0, AT 5s ↑ 1, at 5.22s ↓ 0</v>
      </c>
      <c r="AB25" s="12" t="str">
        <f>"TRIP BRANCH 'SHTS220_GESF220|NEAR' AT "&amp;Table1735[[#This Row],[NEAR]]+Table1735[[#This Row],[Fault_Time_sig]]&amp;"s;
TRIP BRANCH 'SHTS220_GESF220|FAR' AT "&amp;Table1735[[#This Row],[FAR]]+Table1735[[#This Row],[Fault_Time_sig]]&amp;"s;
APPLY FAULT TO BRANCH 'SHTS220_GESF220'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'SHTS220_GESF220|NEAR' AT 5.12s;
TRIP BRANCH 'SHTS220_GESF220|FAR' AT 5.22s;
APPLY FAULT TO BRANCH 'SHTS220_GESF220' AT 5s WITH TYPE=4, RF_OFFSET=0, XF_OFFSET=0, DURATION=0.22s, DISTANCE=0.99</v>
      </c>
      <c r="AC25" s="5">
        <v>20</v>
      </c>
      <c r="AD25" s="6"/>
      <c r="AE25" s="6"/>
      <c r="AF25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5.12s;
TRIP BRANCH 'BAL220_WAR220|FAR' AT 5.22s;
APPLY FAULT TO BRANCH 'BAL220_WAR220' AT 5s WITH TYPE=4, RF_OFFSET=0, XF_OFFSET=0, DURATION=0.22s, DISTANCE=0.99</v>
      </c>
      <c r="AG25" s="6"/>
    </row>
    <row r="26" spans="1:36" ht="43.2" customHeight="1" x14ac:dyDescent="0.3">
      <c r="A26" s="9" t="s">
        <v>24</v>
      </c>
      <c r="B26" s="4" t="str">
        <f>IF(Table1735[[#This Row],[Fault_Type_sig]]=7,"Balanced Faults",IF(Table1735[[#This Row],[Fault_Type_sig]]=4,"Unbalanced Faults","Plant Trip"))</f>
        <v>Unbalanced Faults</v>
      </c>
      <c r="C26" s="4" t="s">
        <v>105</v>
      </c>
      <c r="D26" s="9">
        <v>25</v>
      </c>
      <c r="E26" s="9"/>
      <c r="F26" s="4" t="s">
        <v>105</v>
      </c>
      <c r="G26" s="5" t="str">
        <f t="shared" si="0"/>
        <v>SummerLow_Case1_025</v>
      </c>
      <c r="H26" s="5">
        <v>100</v>
      </c>
      <c r="I26" s="9" t="b">
        <v>1</v>
      </c>
      <c r="J26" s="9" t="b">
        <v>1</v>
      </c>
      <c r="K26" s="9">
        <v>0.12</v>
      </c>
      <c r="L26" s="9">
        <v>0.22</v>
      </c>
      <c r="M26" s="9"/>
      <c r="N26" s="9" t="b">
        <v>0</v>
      </c>
      <c r="O26" s="9">
        <v>3</v>
      </c>
      <c r="P26" s="4">
        <v>4</v>
      </c>
      <c r="Q26" s="9">
        <v>5</v>
      </c>
      <c r="R26" s="4">
        <f>IF(Table1735[[#This Row],[CB FAIL SCENARIO]],MAX(Table1735[[#This Row],[NEAR]:[CB FAIL]]),MAX(Table1735[[#This Row],[NEAR]:[FAR]]))</f>
        <v>0.22</v>
      </c>
      <c r="S26" s="9"/>
      <c r="T26" s="9">
        <v>0</v>
      </c>
      <c r="U26" s="9">
        <v>0</v>
      </c>
      <c r="V26" s="9">
        <v>0</v>
      </c>
      <c r="W26" s="4">
        <v>10</v>
      </c>
      <c r="X26" s="4">
        <v>0.01</v>
      </c>
      <c r="Y26" s="9" t="b">
        <v>1</v>
      </c>
      <c r="Z26" s="9" t="b">
        <v>1</v>
      </c>
      <c r="AA26" s="17" t="str">
        <f>"0, AT "&amp;(Table1735[[#This Row],[Fault_Time_sig]])&amp;"s ↑ 1, at "&amp;(Table1735[[#This Row],[Fault_Time_sig]]+Table1735[[#This Row],[Fault_Duration_sig]])&amp;"s ↓ 0"</f>
        <v>0, AT 5s ↑ 1, at 5.22s ↓ 0</v>
      </c>
      <c r="AB26" s="14" t="str">
        <f>"TRIP BRANCH 'SHTS220_GESF220|NEAR' AT "&amp;Table1735[[#This Row],[NEAR]]+Table1735[[#This Row],[Fault_Time_sig]]&amp;"s;
TRIP BRANCH 'SHTS220_GESF220|FAR' AT "&amp;Table1735[[#This Row],[FAR]]+Table1735[[#This Row],[Fault_Time_sig]]&amp;"s;
RESTORE BRANCH 'SHTS220_GESF220|NEAR' AT "&amp;Table1735[[#This Row],[NEAR]]+Table1735[[#This Row],[RECLOSE]]+Table1735[[#This Row],[Fault_Time_sig]]&amp;"s;
RESTORE BRANCH 'SHTS220_GESF220|FAR' AT "&amp;Table1735[[#This Row],[NEAR]]+Table1735[[#This Row],[RECLOSE]]+Table1735[[#This Row],[Fault_Time_sig]]&amp;"s;
APPLY FAULT TO BRANCH 'SHTS220_GESF220'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'SHTS220_GESF220|NEAR' AT 5.12s;
TRIP BRANCH 'SHTS220_GESF220|FAR' AT 5.22s;
RESTORE BRANCH 'SHTS220_GESF220|NEAR' AT 8.12s;
RESTORE BRANCH 'SHTS220_GESF220|FAR' AT 8.12s;
APPLY FAULT TO BRANCH 'SHTS220_GESF220' AT 5s WITH TYPE=4, RF_OFFSET=0, XF_OFFSET=0, DURATION=0.22s, DISTANCE=0.01</v>
      </c>
      <c r="AC26" s="5">
        <v>20</v>
      </c>
      <c r="AD26" s="11"/>
      <c r="AE26" s="11"/>
      <c r="AF26" s="1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5.12s;
TRIP BRANCH 'BAL220_WAR220|FAR' AT 5.22s;
APPLY FAULT TO BRANCH 'BAL220_WAR220' AT 5s WITH TYPE=4, RF_OFFSET=0, XF_OFFSET=0, DURATION=0.22s, DISTANCE=0.01</v>
      </c>
      <c r="AG26" s="16"/>
    </row>
    <row r="27" spans="1:36" ht="43.2" customHeight="1" x14ac:dyDescent="0.3">
      <c r="A27" s="9" t="s">
        <v>24</v>
      </c>
      <c r="B27" s="4" t="str">
        <f>IF(Table1735[[#This Row],[Fault_Type_sig]]=7,"Balanced Faults",IF(Table1735[[#This Row],[Fault_Type_sig]]=4,"Unbalanced Faults","Plant Trip"))</f>
        <v>Unbalanced Faults</v>
      </c>
      <c r="C27" s="4" t="s">
        <v>105</v>
      </c>
      <c r="D27" s="4">
        <v>26</v>
      </c>
      <c r="E27" s="9"/>
      <c r="F27" s="4" t="s">
        <v>105</v>
      </c>
      <c r="G27" s="5" t="str">
        <f t="shared" si="0"/>
        <v>SummerLow_Case1_026</v>
      </c>
      <c r="H27" s="5">
        <v>100</v>
      </c>
      <c r="I27" s="9" t="b">
        <v>1</v>
      </c>
      <c r="J27" s="9" t="b">
        <v>1</v>
      </c>
      <c r="K27" s="9">
        <v>0.12</v>
      </c>
      <c r="L27" s="9">
        <v>0.22</v>
      </c>
      <c r="M27" s="9"/>
      <c r="N27" s="9" t="b">
        <v>0</v>
      </c>
      <c r="O27" s="9">
        <v>3</v>
      </c>
      <c r="P27" s="4">
        <v>4</v>
      </c>
      <c r="Q27" s="9">
        <v>5</v>
      </c>
      <c r="R27" s="4">
        <f>IF(Table1735[[#This Row],[CB FAIL SCENARIO]],MAX(Table1735[[#This Row],[NEAR]:[CB FAIL]]),MAX(Table1735[[#This Row],[NEAR]:[FAR]]))</f>
        <v>0.22</v>
      </c>
      <c r="S27" s="9"/>
      <c r="T27" s="9">
        <v>0</v>
      </c>
      <c r="U27" s="9">
        <v>0</v>
      </c>
      <c r="V27" s="9">
        <v>0</v>
      </c>
      <c r="W27" s="4">
        <v>10</v>
      </c>
      <c r="X27" s="4">
        <v>0.99</v>
      </c>
      <c r="Y27" s="9" t="b">
        <v>1</v>
      </c>
      <c r="Z27" s="9" t="b">
        <v>1</v>
      </c>
      <c r="AA27" s="17" t="str">
        <f>"0, AT "&amp;(Table1735[[#This Row],[Fault_Time_sig]])&amp;"s ↑ 1, at "&amp;(Table1735[[#This Row],[Fault_Time_sig]]+Table1735[[#This Row],[Fault_Duration_sig]])&amp;"s ↓ 0"</f>
        <v>0, AT 5s ↑ 1, at 5.22s ↓ 0</v>
      </c>
      <c r="AB27" s="14" t="str">
        <f>"TRIP BRANCH 'DED220_GESF220|NEAR' AT "&amp;Table1735[[#This Row],[NEAR]]+Table1735[[#This Row],[Fault_Time_sig]]&amp;"s;
TRIP BRANCH 'DED220_GESF220|FAR' AT "&amp;Table1735[[#This Row],[FAR]]+Table1735[[#This Row],[Fault_Time_sig]]&amp;"s;
APPLY FAULT TO BRANCH 'DED220_GESF220'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'DED220_GESF220|NEAR' AT 5.12s;
TRIP BRANCH 'DED220_GESF220|FAR' AT 5.22s;
APPLY FAULT TO BRANCH 'DED220_GESF220' AT 5s WITH TYPE=4, RF_OFFSET=0, XF_OFFSET=0, DURATION=0.22s, DISTANCE=0.99</v>
      </c>
      <c r="AC27" s="5">
        <v>20</v>
      </c>
      <c r="AD27" s="11"/>
      <c r="AE27" s="11"/>
      <c r="AF27" s="1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5.12s;
TRIP BRANCH 'BAL220_WAR220|FAR' AT 5.22s;
APPLY FAULT TO BRANCH 'BAL220_WAR220' AT 5s WITH TYPE=4, RF_OFFSET=0, XF_OFFSET=0, DURATION=0.22s, DISTANCE=0.99</v>
      </c>
      <c r="AG27" s="16"/>
    </row>
    <row r="28" spans="1:36" ht="43.2" customHeight="1" x14ac:dyDescent="0.3">
      <c r="A28" s="9" t="s">
        <v>24</v>
      </c>
      <c r="B28" s="4" t="str">
        <f>IF(Table1735[[#This Row],[Fault_Type_sig]]=7,"Balanced Faults",IF(Table1735[[#This Row],[Fault_Type_sig]]=4,"Unbalanced Faults","Plant Trip"))</f>
        <v>Unbalanced Faults</v>
      </c>
      <c r="C28" s="4" t="s">
        <v>105</v>
      </c>
      <c r="D28" s="9">
        <v>27</v>
      </c>
      <c r="E28" s="9"/>
      <c r="F28" s="4" t="s">
        <v>105</v>
      </c>
      <c r="G28" s="5" t="str">
        <f t="shared" si="0"/>
        <v>SummerLow_Case1_027</v>
      </c>
      <c r="H28" s="5">
        <v>100</v>
      </c>
      <c r="I28" s="9" t="b">
        <v>1</v>
      </c>
      <c r="J28" s="9" t="b">
        <v>1</v>
      </c>
      <c r="K28" s="9">
        <v>0.8</v>
      </c>
      <c r="L28" s="9">
        <v>0.1</v>
      </c>
      <c r="M28" s="9"/>
      <c r="N28" s="9" t="b">
        <v>0</v>
      </c>
      <c r="O28" s="9">
        <v>3</v>
      </c>
      <c r="P28" s="4">
        <v>4</v>
      </c>
      <c r="Q28" s="9">
        <v>5</v>
      </c>
      <c r="R28" s="4">
        <f>IF(Table1735[[#This Row],[CB FAIL SCENARIO]],MAX(Table1735[[#This Row],[NEAR]:[CB FAIL]]),MAX(Table1735[[#This Row],[NEAR]:[FAR]]))</f>
        <v>0.8</v>
      </c>
      <c r="S28" s="9"/>
      <c r="T28" s="9">
        <v>0</v>
      </c>
      <c r="U28" s="9">
        <v>0</v>
      </c>
      <c r="V28" s="9">
        <v>0</v>
      </c>
      <c r="W28" s="4">
        <v>10</v>
      </c>
      <c r="X28" s="4">
        <v>0.99</v>
      </c>
      <c r="Y28" s="9" t="b">
        <v>1</v>
      </c>
      <c r="Z28" s="9" t="b">
        <v>1</v>
      </c>
      <c r="AA28" s="17" t="str">
        <f>"0, AT "&amp;(Table1735[[#This Row],[Fault_Time_sig]])&amp;"s ↑ 1, at "&amp;(Table1735[[#This Row],[Fault_Time_sig]]+Table1735[[#This Row],[Fault_Duration_sig]])&amp;"s ↓ 0"</f>
        <v>0, AT 5s ↑ 1, at 5.8s ↓ 0</v>
      </c>
      <c r="AB28" s="14" t="str">
        <f>"TRIP BRANCH 'KE500_SM500|NEAR' AT "&amp;Table1735[[#This Row],[NEAR]]+Table1735[[#This Row],[Fault_Time_sig]]&amp;"s;
TRIP BRANCH 'KE500_SM500|FAR' AT "&amp;Table1735[[#This Row],[FAR]]+Table1735[[#This Row],[Fault_Time_sig]]&amp;"s;
RESTORE BRANCH 'KE500_SM500|NEAR' AT "&amp;Table1735[[#This Row],[NEAR]]+Table1735[[#This Row],[RECLOSE]]+Table1735[[#This Row],[Fault_Time_sig]]&amp;"s;
RESTORE BRANCH 'KE500_SM500|FAR' AT "&amp;Table1735[[#This Row],[NEAR]]+Table1735[[#This Row],[RECLOSE]]+Table1735[[#This Row],[Fault_Time_sig]]&amp;"s;
APPLY FAULT TO BRANCH 'KE500_SM500'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'KE500_SM500|NEAR' AT 5.8s;
TRIP BRANCH 'KE500_SM500|FAR' AT 5.1s;
RESTORE BRANCH 'KE500_SM500|NEAR' AT 8.8s;
RESTORE BRANCH 'KE500_SM500|FAR' AT 8.8s;
APPLY FAULT TO BRANCH 'KE500_SM500' AT 5s WITH TYPE=4, RF_OFFSET=0, XF_OFFSET=0, DURATION=0.8s, DISTANCE=0.99</v>
      </c>
      <c r="AC28" s="5">
        <v>20</v>
      </c>
      <c r="AD28" s="11"/>
      <c r="AE28" s="11"/>
      <c r="AF28" s="1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5.8s;
TRIP BRANCH 'BAL220_WAR220|FAR' AT 5.1s;
APPLY FAULT TO BRANCH 'BAL220_WAR220' AT 5s WITH TYPE=4, RF_OFFSET=0, XF_OFFSET=0, DURATION=0.8s, DISTANCE=0.99</v>
      </c>
      <c r="AG28" s="16"/>
    </row>
    <row r="29" spans="1:36" ht="43.2" customHeight="1" x14ac:dyDescent="0.3">
      <c r="A29" s="9" t="s">
        <v>24</v>
      </c>
      <c r="B29" s="4" t="str">
        <f>IF(Table1735[[#This Row],[Fault_Type_sig]]=7,"Balanced Faults",IF(Table1735[[#This Row],[Fault_Type_sig]]=4,"Unbalanced Faults","Plant Trip"))</f>
        <v>Unbalanced Faults</v>
      </c>
      <c r="C29" s="4" t="s">
        <v>105</v>
      </c>
      <c r="D29" s="4">
        <v>28</v>
      </c>
      <c r="E29" s="9"/>
      <c r="F29" s="4" t="s">
        <v>105</v>
      </c>
      <c r="G29" s="5" t="str">
        <f t="shared" si="0"/>
        <v>SummerLow_Case1_028</v>
      </c>
      <c r="H29" s="5">
        <v>100</v>
      </c>
      <c r="I29" s="9" t="b">
        <v>1</v>
      </c>
      <c r="J29" s="9" t="b">
        <v>1</v>
      </c>
      <c r="K29" s="9">
        <v>0.1</v>
      </c>
      <c r="L29" s="9">
        <v>0.12</v>
      </c>
      <c r="M29" s="9"/>
      <c r="N29" s="9" t="b">
        <v>0</v>
      </c>
      <c r="O29" s="9">
        <v>3</v>
      </c>
      <c r="P29" s="4">
        <v>4</v>
      </c>
      <c r="Q29" s="9">
        <v>5</v>
      </c>
      <c r="R29" s="4">
        <f>IF(Table1735[[#This Row],[CB FAIL SCENARIO]],MAX(Table1735[[#This Row],[NEAR]:[CB FAIL]]),MAX(Table1735[[#This Row],[NEAR]:[FAR]]))</f>
        <v>0.12</v>
      </c>
      <c r="S29" s="9"/>
      <c r="T29" s="9">
        <v>0</v>
      </c>
      <c r="U29" s="9">
        <v>0</v>
      </c>
      <c r="V29" s="9">
        <v>0</v>
      </c>
      <c r="W29" s="4">
        <v>10</v>
      </c>
      <c r="X29" s="4">
        <v>0.01</v>
      </c>
      <c r="Y29" s="9" t="b">
        <v>1</v>
      </c>
      <c r="Z29" s="9" t="b">
        <v>1</v>
      </c>
      <c r="AA29" s="17" t="str">
        <f>"0, AT "&amp;(Table1735[[#This Row],[Fault_Time_sig]])&amp;"s ↑ 1, at "&amp;(Table1735[[#This Row],[Fault_Time_sig]]+Table1735[[#This Row],[Fault_Duration_sig]])&amp;"s ↓ 0"</f>
        <v>0, AT 5s ↑ 1, at 5.12s ↓ 0</v>
      </c>
      <c r="AB29" s="14" t="str">
        <f>"TRIP BRANCH 'DE330_WO330|NEAR' AT "&amp;Table1735[[#This Row],[NEAR]]+Table1735[[#This Row],[Fault_Time_sig]]&amp;"s;
TRIP BRANCH 'DE330_WO330|FAR' AT "&amp;Table1735[[#This Row],[FAR]]+Table1735[[#This Row],[Fault_Time_sig]]&amp;"s;
APPLY FAULT TO BRANCH 'DE330_WO330'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'DE330_WO330|NEAR' AT 5.1s;
TRIP BRANCH 'DE330_WO330|FAR' AT 5.12s;
APPLY FAULT TO BRANCH 'DE330_WO330' AT 5s WITH TYPE=4, RF_OFFSET=0, XF_OFFSET=0, DURATION=0.12s, DISTANCE=0.01</v>
      </c>
      <c r="AC29" s="5">
        <v>20</v>
      </c>
      <c r="AD29" s="11"/>
      <c r="AE29" s="11"/>
      <c r="AF29" s="1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5.1s;
TRIP BRANCH 'BAL220_WAR220|FAR' AT 5.12s;
APPLY FAULT TO BRANCH 'BAL220_WAR220' AT 5s WITH TYPE=4, RF_OFFSET=0, XF_OFFSET=0, DURATION=0.12s, DISTANCE=0.01</v>
      </c>
      <c r="AG29" s="16"/>
    </row>
    <row r="30" spans="1:36" ht="43.2" customHeight="1" x14ac:dyDescent="0.3">
      <c r="A30" s="9" t="s">
        <v>24</v>
      </c>
      <c r="B30" s="4" t="str">
        <f>IF(Table1735[[#This Row],[Fault_Type_sig]]=7,"Balanced Faults",IF(Table1735[[#This Row],[Fault_Type_sig]]=4,"Unbalanced Faults","Plant Trip"))</f>
        <v>Unbalanced Faults</v>
      </c>
      <c r="C30" s="4" t="s">
        <v>105</v>
      </c>
      <c r="D30" s="9">
        <v>29</v>
      </c>
      <c r="E30" s="9"/>
      <c r="F30" s="4" t="s">
        <v>105</v>
      </c>
      <c r="G30" s="5" t="str">
        <f t="shared" si="0"/>
        <v>SummerLow_Case1_029</v>
      </c>
      <c r="H30" s="5">
        <v>100</v>
      </c>
      <c r="I30" s="9" t="b">
        <v>1</v>
      </c>
      <c r="J30" s="9" t="b">
        <v>1</v>
      </c>
      <c r="K30" s="9">
        <v>0.1</v>
      </c>
      <c r="L30" s="9">
        <v>0.12</v>
      </c>
      <c r="M30" s="9"/>
      <c r="N30" s="9" t="b">
        <v>0</v>
      </c>
      <c r="O30" s="9">
        <v>3</v>
      </c>
      <c r="P30" s="4">
        <v>4</v>
      </c>
      <c r="Q30" s="9">
        <v>5</v>
      </c>
      <c r="R30" s="4">
        <f>IF(Table1735[[#This Row],[CB FAIL SCENARIO]],MAX(Table1735[[#This Row],[NEAR]:[CB FAIL]]),MAX(Table1735[[#This Row],[NEAR]:[FAR]]))</f>
        <v>0.12</v>
      </c>
      <c r="S30" s="9"/>
      <c r="T30" s="9">
        <v>0</v>
      </c>
      <c r="U30" s="9">
        <v>0</v>
      </c>
      <c r="V30" s="9">
        <v>0</v>
      </c>
      <c r="W30" s="4">
        <v>10</v>
      </c>
      <c r="X30" s="4">
        <v>0.99</v>
      </c>
      <c r="Y30" s="9" t="b">
        <v>1</v>
      </c>
      <c r="Z30" s="9" t="b">
        <v>1</v>
      </c>
      <c r="AA30" s="17" t="str">
        <f>"0, AT "&amp;(Table1735[[#This Row],[Fault_Time_sig]])&amp;"s ↑ 1, at "&amp;(Table1735[[#This Row],[Fault_Time_sig]]+Table1735[[#This Row],[Fault_Duration_sig]])&amp;"s ↓ 0"</f>
        <v>0, AT 5s ↑ 1, at 5.12s ↓ 0</v>
      </c>
      <c r="AB30" s="14" t="str">
        <f>"TRIP BRANCH 'DE330_WO330|NEAR' AT "&amp;Table1735[[#This Row],[NEAR]]+Table1735[[#This Row],[Fault_Time_sig]]&amp;"s;
TRIP BRANCH 'DE330_WO330|FAR' AT "&amp;Table1735[[#This Row],[FAR]]+Table1735[[#This Row],[Fault_Time_sig]]&amp;"s;
RESTORE BRANCH 'DE330_WO330|NEAR' AT "&amp;Table1735[[#This Row],[NEAR]]+Table1735[[#This Row],[RECLOSE]]+Table1735[[#This Row],[Fault_Time_sig]]&amp;"s;
RESTORE BRANCH 'DE330_WO330|FAR' AT "&amp;Table1735[[#This Row],[NEAR]]+Table1735[[#This Row],[RECLOSE]]+Table1735[[#This Row],[Fault_Time_sig]]&amp;"s;
APPLY FAULT TO BRANCH 'DE330_WO330' AT "&amp;Table1735[[#This Row],[Fault_Time_sig]]&amp;"s WITH "
&amp;"TYPE="&amp;Table1735[[#This Row],[Fault_Type_sig]]
&amp;IF(Table1735[[#This Row],[Fault_Duration_sig]]="","",", DURATION="&amp;Table1735[[#This Row],[Fault_Duration_sig]]&amp;"s")
&amp;IF(Table1735[[#This Row],[Distance]]="","",", DISTANCE="&amp;Table1735[[#This Row],[Distance]])</f>
        <v>TRIP BRANCH 'DE330_WO330|NEAR' AT 5.1s;
TRIP BRANCH 'DE330_WO330|FAR' AT 5.12s;
RESTORE BRANCH 'DE330_WO330|NEAR' AT 8.1s;
RESTORE BRANCH 'DE330_WO330|FAR' AT 8.1s;
APPLY FAULT TO BRANCH 'DE330_WO330' AT 5s WITH TYPE=4, DURATION=0.12s, DISTANCE=0.99</v>
      </c>
      <c r="AC30" s="5">
        <v>20</v>
      </c>
      <c r="AD30" s="6"/>
      <c r="AE30" s="6"/>
      <c r="AF30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5.1s;
TRIP BRANCH 'BAL220_WAR220|FAR' AT 5.12s;
APPLY FAULT TO BRANCH 'BAL220_WAR220' AT 5s WITH TYPE=4, RF_OFFSET=0, XF_OFFSET=0, DURATION=0.12s, DISTANCE=0.99</v>
      </c>
      <c r="AG30" s="6"/>
    </row>
    <row r="31" spans="1:36" ht="70.8" customHeight="1" x14ac:dyDescent="0.3">
      <c r="A31" s="9" t="s">
        <v>24</v>
      </c>
      <c r="B31" s="4" t="str">
        <f>IF(Table1735[[#This Row],[Fault_Type_sig]]=7,"Balanced Faults",IF(Table1735[[#This Row],[Fault_Type_sig]]=4,"Unbalanced Faults","Plant Trip"))</f>
        <v>Unbalanced Faults</v>
      </c>
      <c r="C31" s="4" t="s">
        <v>105</v>
      </c>
      <c r="D31" s="4">
        <v>30</v>
      </c>
      <c r="E31" s="9"/>
      <c r="F31" s="4" t="s">
        <v>105</v>
      </c>
      <c r="G31" s="5" t="str">
        <f t="shared" si="0"/>
        <v>SummerLow_Case1_030</v>
      </c>
      <c r="H31" s="5">
        <v>100</v>
      </c>
      <c r="I31" s="9" t="b">
        <v>1</v>
      </c>
      <c r="J31" s="9" t="b">
        <v>1</v>
      </c>
      <c r="K31" s="9">
        <v>0.1</v>
      </c>
      <c r="L31" s="9">
        <v>0.12</v>
      </c>
      <c r="M31" s="9"/>
      <c r="N31" s="9" t="b">
        <v>0</v>
      </c>
      <c r="O31" s="9">
        <v>3</v>
      </c>
      <c r="P31" s="4">
        <v>4</v>
      </c>
      <c r="Q31" s="9">
        <v>5</v>
      </c>
      <c r="R31" s="4">
        <f>IF(Table1735[[#This Row],[CB FAIL SCENARIO]],MAX(Table1735[[#This Row],[NEAR]:[CB FAIL]]),MAX(Table1735[[#This Row],[NEAR]:[FAR]]))</f>
        <v>0.12</v>
      </c>
      <c r="S31" s="9"/>
      <c r="T31" s="9">
        <v>0</v>
      </c>
      <c r="U31" s="9">
        <v>0</v>
      </c>
      <c r="V31" s="9">
        <v>0</v>
      </c>
      <c r="W31" s="4">
        <v>10</v>
      </c>
      <c r="X31" s="4">
        <v>0.99</v>
      </c>
      <c r="Y31" s="9" t="b">
        <v>1</v>
      </c>
      <c r="Z31" s="9" t="b">
        <v>1</v>
      </c>
      <c r="AA31" s="17" t="str">
        <f>"0, AT "&amp;(Table1735[[#This Row],[Fault_Time_sig]])&amp;"s ↑ 1, at "&amp;(Table1735[[#This Row],[Fault_Time_sig]]+Table1735[[#This Row],[Fault_Duration_sig]])&amp;"s ↓ 0"</f>
        <v>0, AT 5s ↑ 1, at 5.12s ↓ 0</v>
      </c>
      <c r="AB31" s="13" t="str">
        <f>"TRIP BRANCH 'JIN330_WO330|NEAR' AT "&amp;Table1735[[#This Row],[NEAR]]+Table1735[[#This Row],[Fault_Time_sig]]&amp;"s;
TRIP BRANCH 'JIN330_WO330|FAR' AT "&amp;Table1735[[#This Row],[FAR]]+Table1735[[#This Row],[Fault_Time_sig]]&amp;"s;
RESTORE BRANCH 'JIN330_WO330|NEAR' AT "&amp;Table1735[[#This Row],[NEAR]]+Table1735[[#This Row],[RECLOSE]]+Table1735[[#This Row],[Fault_Time_sig]]&amp;"s;
RESTORE BRANCH 'JIN330_WO330|FAR' AT "&amp;Table1735[[#This Row],[NEAR]]+Table1735[[#This Row],[RECLOSE]]+Table1735[[#This Row],[Fault_Time_sig]]&amp;"s;
APPLY FAULT TO BRANCH 'JIN330_WO330'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'JIN330_WO330|NEAR' AT 5.1s;
TRIP BRANCH 'JIN330_WO330|FAR' AT 5.12s;
RESTORE BRANCH 'JIN330_WO330|NEAR' AT 8.1s;
RESTORE BRANCH 'JIN330_WO330|FAR' AT 8.1s;
APPLY FAULT TO BRANCH 'JIN330_WO330' AT 5s WITH TYPE=4, RF_OFFSET=0, XF_OFFSET=0, DURATION=0.12s, DISTANCE=0.99</v>
      </c>
      <c r="AC31" s="5">
        <v>20</v>
      </c>
      <c r="AD31" s="6"/>
      <c r="AE31" s="6"/>
      <c r="AF31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5.1s;
TRIP BRANCH 'BAL220_WAR220|FAR' AT 5.12s;
APPLY FAULT TO BRANCH 'BAL220_WAR220' AT 5s WITH TYPE=4, RF_OFFSET=0, XF_OFFSET=0, DURATION=0.12s, DISTANCE=0.99</v>
      </c>
      <c r="AG31" s="6"/>
    </row>
    <row r="32" spans="1:36" ht="43.2" customHeight="1" x14ac:dyDescent="0.3">
      <c r="A32" s="9" t="s">
        <v>24</v>
      </c>
      <c r="B32" s="4" t="str">
        <f>IF(Table1735[[#This Row],[Fault_Type_sig]]=7,"Balanced Faults",IF(Table1735[[#This Row],[Fault_Type_sig]]=4,"Unbalanced Faults","Plant Trip"))</f>
        <v>Unbalanced Faults</v>
      </c>
      <c r="C32" s="4" t="s">
        <v>105</v>
      </c>
      <c r="D32" s="9">
        <v>31</v>
      </c>
      <c r="E32" s="9"/>
      <c r="F32" s="4" t="s">
        <v>105</v>
      </c>
      <c r="G32" s="5" t="str">
        <f t="shared" si="0"/>
        <v>SummerLow_Case1_031</v>
      </c>
      <c r="H32" s="5">
        <v>100</v>
      </c>
      <c r="I32" s="9" t="b">
        <v>1</v>
      </c>
      <c r="J32" s="9" t="b">
        <v>1</v>
      </c>
      <c r="K32" s="9">
        <v>0.1</v>
      </c>
      <c r="L32" s="9">
        <v>0.12</v>
      </c>
      <c r="M32" s="9"/>
      <c r="N32" s="9" t="b">
        <v>0</v>
      </c>
      <c r="O32" s="9">
        <v>3</v>
      </c>
      <c r="P32" s="4">
        <v>4</v>
      </c>
      <c r="Q32" s="9">
        <v>5</v>
      </c>
      <c r="R32" s="4">
        <f>IF(Table1735[[#This Row],[CB FAIL SCENARIO]],MAX(Table1735[[#This Row],[NEAR]:[CB FAIL]]),MAX(Table1735[[#This Row],[NEAR]:[FAR]]))</f>
        <v>0.12</v>
      </c>
      <c r="S32" s="9"/>
      <c r="T32" s="9">
        <v>0</v>
      </c>
      <c r="U32" s="9">
        <v>0</v>
      </c>
      <c r="V32" s="9">
        <v>0</v>
      </c>
      <c r="W32" s="4">
        <v>10</v>
      </c>
      <c r="X32" s="4">
        <v>0.01</v>
      </c>
      <c r="Y32" s="9" t="b">
        <v>1</v>
      </c>
      <c r="Z32" s="9" t="b">
        <v>1</v>
      </c>
      <c r="AA32" s="17" t="str">
        <f>"0, AT "&amp;(Table1735[[#This Row],[Fault_Time_sig]])&amp;"s ↑ 1, at "&amp;(Table1735[[#This Row],[Fault_Time_sig]]+Table1735[[#This Row],[Fault_Duration_sig]])&amp;"s ↓ 0"</f>
        <v>0, AT 5s ↑ 1, at 5.12s ↓ 0</v>
      </c>
      <c r="AB32" s="13" t="str">
        <f>"TRIP BRANCH 'DED330_MUR330|NEAR' AT "&amp;Table1735[[#This Row],[NEAR]]+Table1735[[#This Row],[Fault_Time_sig]]&amp;"s;
TRIP BRANCH 'DED330_MUR330|FAR' AT "&amp;Table1735[[#This Row],[FAR]]+Table1735[[#This Row],[Fault_Time_sig]]&amp;"s;
APPLY FAULT TO BRANCH 'DED330_MUR330'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'DED330_MUR330|NEAR' AT 5.1s;
TRIP BRANCH 'DED330_MUR330|FAR' AT 5.12s;
APPLY FAULT TO BRANCH 'DED330_MUR330' AT 5s WITH TYPE=4, RF_OFFSET=0, XF_OFFSET=0, DURATION=0.12s, DISTANCE=0.01</v>
      </c>
      <c r="AC32" s="5">
        <v>20</v>
      </c>
      <c r="AD32" s="6"/>
      <c r="AE32" s="6"/>
      <c r="AF32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5.1s;
TRIP BRANCH 'BAL220_WAR220|FAR' AT 5.12s;
APPLY FAULT TO BRANCH 'BAL220_WAR220' AT 5s WITH TYPE=4, RF_OFFSET=0, XF_OFFSET=0, DURATION=0.12s, DISTANCE=0.01</v>
      </c>
      <c r="AG32" s="6"/>
    </row>
    <row r="33" spans="1:34" ht="43.2" customHeight="1" x14ac:dyDescent="0.3">
      <c r="A33" s="9" t="s">
        <v>24</v>
      </c>
      <c r="B33" s="4" t="str">
        <f>IF(Table1735[[#This Row],[Fault_Type_sig]]=7,"Balanced Faults",IF(Table1735[[#This Row],[Fault_Type_sig]]=4,"Unbalanced Faults","Plant Trip"))</f>
        <v>Unbalanced Faults</v>
      </c>
      <c r="C33" s="4" t="s">
        <v>105</v>
      </c>
      <c r="D33" s="4">
        <v>32</v>
      </c>
      <c r="E33" s="9"/>
      <c r="F33" s="4" t="s">
        <v>105</v>
      </c>
      <c r="G33" s="5" t="str">
        <f t="shared" si="0"/>
        <v>SummerLow_Case1_032</v>
      </c>
      <c r="H33" s="5">
        <v>100</v>
      </c>
      <c r="I33" s="9" t="b">
        <v>1</v>
      </c>
      <c r="J33" s="9" t="b">
        <v>1</v>
      </c>
      <c r="K33" s="9">
        <v>0.1</v>
      </c>
      <c r="L33" s="9">
        <v>0.12</v>
      </c>
      <c r="M33" s="9"/>
      <c r="N33" s="9" t="b">
        <v>0</v>
      </c>
      <c r="O33" s="9">
        <v>3</v>
      </c>
      <c r="P33" s="4">
        <v>4</v>
      </c>
      <c r="Q33" s="9">
        <v>5</v>
      </c>
      <c r="R33" s="4">
        <f>IF(Table1735[[#This Row],[CB FAIL SCENARIO]],MAX(Table1735[[#This Row],[NEAR]:[CB FAIL]]),MAX(Table1735[[#This Row],[NEAR]:[FAR]]))</f>
        <v>0.12</v>
      </c>
      <c r="S33" s="9"/>
      <c r="T33" s="9">
        <v>0</v>
      </c>
      <c r="U33" s="9">
        <v>0</v>
      </c>
      <c r="V33" s="9">
        <v>0</v>
      </c>
      <c r="W33" s="4">
        <v>10</v>
      </c>
      <c r="X33" s="4">
        <v>0.01</v>
      </c>
      <c r="Y33" s="9" t="b">
        <v>1</v>
      </c>
      <c r="Z33" s="9" t="b">
        <v>1</v>
      </c>
      <c r="AA33" s="17" t="str">
        <f>"0, AT "&amp;(Table1735[[#This Row],[Fault_Time_sig]])&amp;"s ↑ 1, at "&amp;(Table1735[[#This Row],[Fault_Time_sig]]+Table1735[[#This Row],[Fault_Duration_sig]])&amp;"s ↓ 0"</f>
        <v>0, AT 5s ↑ 1, at 5.12s ↓ 0</v>
      </c>
      <c r="AB33" s="13" t="str">
        <f>"TRIP BRANCH 'DED330_SM330|NEAR' AT "&amp;Table1735[[#This Row],[NEAR]]+Table1735[[#This Row],[Fault_Time_sig]]&amp;"s;
TRIP BRANCH 'DED330_SM330|FAR' AT "&amp;Table1735[[#This Row],[FAR]]+Table1735[[#This Row],[Fault_Time_sig]]&amp;"s;
APPLY FAULT TO BRANCH 'DED330_SM330'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'DED330_SM330|NEAR' AT 5.1s;
TRIP BRANCH 'DED330_SM330|FAR' AT 5.12s;
APPLY FAULT TO BRANCH 'DED330_SM330' AT 5s WITH TYPE=4, RF_OFFSET=0, XF_OFFSET=0, DURATION=0.12s, DISTANCE=0.01</v>
      </c>
      <c r="AC33" s="5">
        <v>20</v>
      </c>
      <c r="AD33" s="6"/>
      <c r="AE33" s="6"/>
      <c r="AF33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5.1s;
TRIP BRANCH 'BAL220_WAR220|FAR' AT 5.12s;
APPLY FAULT TO BRANCH 'BAL220_WAR220' AT 5s WITH TYPE=4, RF_OFFSET=0, XF_OFFSET=0, DURATION=0.12s, DISTANCE=0.01</v>
      </c>
      <c r="AG33" s="6"/>
    </row>
    <row r="34" spans="1:34" ht="43.2" customHeight="1" x14ac:dyDescent="0.3">
      <c r="A34" s="9" t="s">
        <v>24</v>
      </c>
      <c r="B34" s="4" t="str">
        <f>IF(Table1735[[#This Row],[Fault_Type_sig]]=7,"Balanced Faults",IF(Table1735[[#This Row],[Fault_Type_sig]]=4,"Unbalanced Faults","Plant Trip"))</f>
        <v>Unbalanced Faults</v>
      </c>
      <c r="C34" s="4" t="s">
        <v>105</v>
      </c>
      <c r="D34" s="9">
        <v>33</v>
      </c>
      <c r="E34" s="9"/>
      <c r="F34" s="4" t="s">
        <v>105</v>
      </c>
      <c r="G34" s="5" t="str">
        <f t="shared" si="0"/>
        <v>SummerLow_Case1_033</v>
      </c>
      <c r="H34" s="5">
        <v>100</v>
      </c>
      <c r="I34" s="9" t="b">
        <v>1</v>
      </c>
      <c r="J34" s="9" t="b">
        <v>1</v>
      </c>
      <c r="K34" s="9">
        <v>0.1</v>
      </c>
      <c r="L34" s="9">
        <v>0.12</v>
      </c>
      <c r="M34" s="9"/>
      <c r="N34" s="9" t="b">
        <v>0</v>
      </c>
      <c r="O34" s="9">
        <v>3</v>
      </c>
      <c r="P34" s="4">
        <v>4</v>
      </c>
      <c r="Q34" s="9">
        <v>5</v>
      </c>
      <c r="R34" s="4">
        <f>IF(Table1735[[#This Row],[CB FAIL SCENARIO]],MAX(Table1735[[#This Row],[NEAR]:[CB FAIL]]),MAX(Table1735[[#This Row],[NEAR]:[FAR]]))</f>
        <v>0.12</v>
      </c>
      <c r="S34" s="9"/>
      <c r="T34" s="9">
        <v>0</v>
      </c>
      <c r="U34" s="9">
        <v>0</v>
      </c>
      <c r="V34" s="9">
        <v>0</v>
      </c>
      <c r="W34" s="4">
        <v>10</v>
      </c>
      <c r="X34" s="4">
        <v>0.99</v>
      </c>
      <c r="Y34" s="9" t="b">
        <v>1</v>
      </c>
      <c r="Z34" s="9" t="b">
        <v>1</v>
      </c>
      <c r="AA34" s="17" t="str">
        <f>"0, AT "&amp;(Table1735[[#This Row],[Fault_Time_sig]])&amp;"s ↑ 1, at "&amp;(Table1735[[#This Row],[Fault_Time_sig]]+Table1735[[#This Row],[Fault_Duration_sig]])&amp;"s ↓ 0"</f>
        <v>0, AT 5s ↑ 1, at 5.12s ↓ 0</v>
      </c>
      <c r="AB34" s="13" t="str">
        <f>"TRIP BRANCH 'LWTM330_MUR330|NEAR' AT "&amp;Table1735[[#This Row],[NEAR]]+Table1735[[#This Row],[Fault_Time_sig]]&amp;"s;
TRIP BRANCH 'LWTM330_MUR330|FAR' AT "&amp;Table1735[[#This Row],[FAR]]+Table1735[[#This Row],[Fault_Time_sig]]&amp;"s;
APPLY FAULT TO BRANCH 'LWTM330_MUR330'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'LWTM330_MUR330|NEAR' AT 5.1s;
TRIP BRANCH 'LWTM330_MUR330|FAR' AT 5.12s;
APPLY FAULT TO BRANCH 'LWTM330_MUR330' AT 5s WITH TYPE=4, RF_OFFSET=0, XF_OFFSET=0, DURATION=0.12s, DISTANCE=0.99</v>
      </c>
      <c r="AC34" s="5">
        <v>20</v>
      </c>
      <c r="AD34" s="6"/>
      <c r="AE34" s="6"/>
      <c r="AF34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5.1s;
TRIP BRANCH 'BAL220_WAR220|FAR' AT 5.12s;
APPLY FAULT TO BRANCH 'BAL220_WAR220' AT 5s WITH TYPE=4, RF_OFFSET=0, XF_OFFSET=0, DURATION=0.12s, DISTANCE=0.99</v>
      </c>
      <c r="AG34" s="6"/>
    </row>
    <row r="35" spans="1:34" ht="43.2" customHeight="1" x14ac:dyDescent="0.3">
      <c r="A35" s="9" t="s">
        <v>24</v>
      </c>
      <c r="B35" s="4" t="str">
        <f>IF(Table1735[[#This Row],[Fault_Type_sig]]=7,"Balanced Faults",IF(Table1735[[#This Row],[Fault_Type_sig]]=4,"Unbalanced Faults","Plant Trip"))</f>
        <v>Unbalanced Faults</v>
      </c>
      <c r="C35" s="4" t="s">
        <v>105</v>
      </c>
      <c r="D35" s="4">
        <v>34</v>
      </c>
      <c r="E35" s="9"/>
      <c r="F35" s="4" t="s">
        <v>105</v>
      </c>
      <c r="G35" s="5" t="str">
        <f t="shared" si="0"/>
        <v>SummerLow_Case1_034</v>
      </c>
      <c r="H35" s="5">
        <v>100</v>
      </c>
      <c r="I35" s="9" t="b">
        <v>1</v>
      </c>
      <c r="J35" s="9" t="b">
        <v>1</v>
      </c>
      <c r="K35" s="9">
        <v>0.1</v>
      </c>
      <c r="L35" s="9">
        <v>0.12</v>
      </c>
      <c r="M35" s="9"/>
      <c r="N35" s="9" t="b">
        <v>0</v>
      </c>
      <c r="O35" s="9">
        <v>3</v>
      </c>
      <c r="P35" s="4">
        <v>4</v>
      </c>
      <c r="Q35" s="9">
        <v>5</v>
      </c>
      <c r="R35" s="4">
        <f>IF(Table1735[[#This Row],[CB FAIL SCENARIO]],MAX(Table1735[[#This Row],[NEAR]:[CB FAIL]]),MAX(Table1735[[#This Row],[NEAR]:[FAR]]))</f>
        <v>0.12</v>
      </c>
      <c r="S35" s="9"/>
      <c r="T35" s="9">
        <v>0</v>
      </c>
      <c r="U35" s="9">
        <v>0</v>
      </c>
      <c r="V35" s="9">
        <v>0</v>
      </c>
      <c r="W35" s="4">
        <v>10</v>
      </c>
      <c r="X35" s="4">
        <v>0.99</v>
      </c>
      <c r="Y35" s="9" t="b">
        <v>1</v>
      </c>
      <c r="Z35" s="9" t="b">
        <v>1</v>
      </c>
      <c r="AA35" s="17" t="str">
        <f>"0, AT "&amp;(Table1735[[#This Row],[Fault_Time_sig]])&amp;"s ↑ 1, at "&amp;(Table1735[[#This Row],[Fault_Time_sig]]+Table1735[[#This Row],[Fault_Duration_sig]])&amp;"s ↓ 0"</f>
        <v>0, AT 5s ↑ 1, at 5.12s ↓ 0</v>
      </c>
      <c r="AB35" s="13" t="str">
        <f>"TRIP BRANCH 'LWTM330_UPTM330|NEAR' AT "&amp;Table1735[[#This Row],[NEAR]]+Table1735[[#This Row],[Fault_Time_sig]]&amp;"s;
TRIP BRANCH 'LWTM330_UPTM330|FAR' AT "&amp;Table1735[[#This Row],[FAR]]+Table1735[[#This Row],[Fault_Time_sig]]&amp;"s;
APPLY FAULT TO BRANCH 'LWTM330_UPTM330'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'LWTM330_UPTM330|NEAR' AT 5.1s;
TRIP BRANCH 'LWTM330_UPTM330|FAR' AT 5.12s;
APPLY FAULT TO BRANCH 'LWTM330_UPTM330' AT 5s WITH TYPE=4, RF_OFFSET=0, XF_OFFSET=0, DURATION=0.12s, DISTANCE=0.99</v>
      </c>
      <c r="AC35" s="5">
        <v>20</v>
      </c>
      <c r="AD35" s="6"/>
      <c r="AE35" s="6"/>
      <c r="AF35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5.1s;
TRIP BRANCH 'BAL220_WAR220|FAR' AT 5.12s;
APPLY FAULT TO BRANCH 'BAL220_WAR220' AT 5s WITH TYPE=4, RF_OFFSET=0, XF_OFFSET=0, DURATION=0.12s, DISTANCE=0.99</v>
      </c>
      <c r="AG35" s="6"/>
    </row>
    <row r="36" spans="1:34" ht="219.6" customHeight="1" x14ac:dyDescent="0.3">
      <c r="A36" s="4" t="s">
        <v>24</v>
      </c>
      <c r="B36" s="4" t="str">
        <f>IF(Table1735[[#This Row],[Fault_Type_sig]]=7,"Balanced Faults",IF(Table1735[[#This Row],[Fault_Type_sig]]=4,"Unbalanced Faults","Plant Trip"))</f>
        <v>Balanced Faults</v>
      </c>
      <c r="C36" s="4" t="s">
        <v>105</v>
      </c>
      <c r="D36" s="4">
        <v>35</v>
      </c>
      <c r="E36" s="4"/>
      <c r="F36" s="4" t="s">
        <v>105</v>
      </c>
      <c r="G36" s="5" t="str">
        <f t="shared" si="0"/>
        <v>SummerLow_Case1_035</v>
      </c>
      <c r="H36" s="5">
        <v>100</v>
      </c>
      <c r="I36" s="4" t="b">
        <v>1</v>
      </c>
      <c r="J36" s="4" t="b">
        <v>1</v>
      </c>
      <c r="K36" s="4">
        <v>0.25</v>
      </c>
      <c r="L36" s="4">
        <v>0.25</v>
      </c>
      <c r="M36" s="4"/>
      <c r="N36" s="4" t="b">
        <v>0</v>
      </c>
      <c r="O36" s="4">
        <v>3</v>
      </c>
      <c r="P36" s="4">
        <v>7</v>
      </c>
      <c r="Q36" s="4">
        <v>5</v>
      </c>
      <c r="R36" s="4">
        <f>IF(Table1735[[#This Row],[CB FAIL SCENARIO]],MAX(Table1735[[#This Row],[NEAR]:[CB FAIL]]),MAX(Table1735[[#This Row],[NEAR]:[FAR]]))</f>
        <v>0.25</v>
      </c>
      <c r="S36" s="4"/>
      <c r="T36" s="4">
        <v>0</v>
      </c>
      <c r="U36" s="4">
        <v>0</v>
      </c>
      <c r="V36" s="4">
        <v>0</v>
      </c>
      <c r="W36" s="4">
        <v>10</v>
      </c>
      <c r="X36" s="4">
        <v>0.5</v>
      </c>
      <c r="Y36" s="4" t="b">
        <v>1</v>
      </c>
      <c r="Z36" s="4" t="b">
        <v>1</v>
      </c>
      <c r="AA36" s="4" t="str">
        <f>"0, AT "&amp;(Table1735[[#This Row],[Fault_Time_sig]])&amp;"s ↑ 1, at "&amp;(Table1735[[#This Row],[Fault_Time_sig]]+Table1735[[#This Row],[Fault_Duration_sig]])&amp;"s ↓ 0"</f>
        <v>0, AT 5s ↑ 1, at 5.25s ↓ 0</v>
      </c>
      <c r="AB36" s="13" t="str">
        <f>"TRIP BRANCH 'DEDTXDUMMY|NEAR' AT "&amp;Table1735[[#This Row],[NEAR]]+Table1735[[#This Row],[Fault_Time_sig]]&amp;"s;
TRIP BRANCH 'DEDTXDUMMY|FAR' AT "&amp;Table1735[[#This Row],[FAR]]+Table1735[[#This Row],[Fault_Time_sig]]&amp;"s;
RESTORE BRANCH 'DEDTXDUMMY|NEAR' AT "&amp;Table1735[[#This Row],[NEAR]]+Table1735[[#This Row],[RECLOSE]]+Table1735[[#This Row],[Fault_Time_sig]]&amp;"s;
RESTORE BRANCH 'DEDTXDUMMY|FAR' AT "&amp;Table1735[[#This Row],[NEAR]]+Table1735[[#This Row],[RECLOSE]]+Table1735[[#This Row],[Fault_Time_sig]]&amp;"s;
APPLY FAULT TO BRANCH 'DEDTXDUMMY'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'DEDTXDUMMY|NEAR' AT 5.25s;
TRIP BRANCH 'DEDTXDUMMY|FAR' AT 5.25s;
RESTORE BRANCH 'DEDTXDUMMY|NEAR' AT 8.25s;
RESTORE BRANCH 'DEDTXDUMMY|FAR' AT 8.25s;
APPLY FAULT TO BRANCH 'DEDTXDUMMY' AT 5s WITH TYPE=7, RF_OFFSET=0, XF_OFFSET=0, DURATION=0.25s, DISTANCE=0.5</v>
      </c>
      <c r="AC36" s="5">
        <v>20</v>
      </c>
      <c r="AD36" s="6"/>
      <c r="AE36" s="6"/>
      <c r="AF36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5.25s;
TRIP BRANCH 'BAL220_WAR220|FAR' AT 5.25s;
APPLY FAULT TO BRANCH 'BAL220_WAR220' AT 5s WITH TYPE=7, RF_OFFSET=0, XF_OFFSET=0, DURATION=0.25s, DISTANCE=0.5</v>
      </c>
      <c r="AG36" s="6" t="s">
        <v>99</v>
      </c>
      <c r="AH36" s="13" t="str">
        <f>"TRIP BRANCH 'DEDTXDUMMY|NEAR' AT "&amp;10+Table1735[[#This Row],[Fault_Time_sig]]&amp;"s;
TRIP BRANCH 'DEDTXDUMMY|FAR' AT "&amp;10+Table1735[[#This Row],[Fault_Time_sig]]&amp;"s;
TRIP BRANCH 'DEDTXDUMMY2|NEAR' AT "&amp;10+Table1735[[#This Row],[Fault_Time_sig]]&amp;"s;
TRIP BRANCH 'DEDTXDUMMY2|FAR' AT "&amp;10+Table1735[[#This Row],[Fault_Time_sig]]&amp;"s;
TRIP BRANCH 'DED330_MUR330No2|NEAR' AT "&amp;10+Table1735[[#This Row],[Fault_Time_sig]]&amp;"s;
TRIP BRANCH 'DED330_MUR330No2|FAR' AT "&amp;10+Table1735[[#This Row],[Fault_Time_sig]]&amp;"s;
TRIP SWITCHED_SHUNT 'DED' AT "&amp;10+Table1735[[#This Row],[Fault_Time_sig]]&amp;"s"</f>
        <v>TRIP BRANCH 'DEDTXDUMMY|NEAR' AT 15s;
TRIP BRANCH 'DEDTXDUMMY|FAR' AT 15s;
TRIP BRANCH 'DEDTXDUMMY2|NEAR' AT 15s;
TRIP BRANCH 'DEDTXDUMMY2|FAR' AT 15s;
TRIP BRANCH 'DED330_MUR330No2|NEAR' AT 15s;
TRIP BRANCH 'DED330_MUR330No2|FAR' AT 15s;
TRIP SWITCHED_SHUNT 'DED' AT 15s</v>
      </c>
    </row>
    <row r="37" spans="1:34" ht="165.6" customHeight="1" x14ac:dyDescent="0.3">
      <c r="A37" s="4" t="s">
        <v>24</v>
      </c>
      <c r="B37" s="4" t="str">
        <f>IF(Table1735[[#This Row],[Fault_Type_sig]]=7,"Balanced Faults",IF(Table1735[[#This Row],[Fault_Type_sig]]=4,"Unbalanced Faults","Plant Trip"))</f>
        <v>Balanced Faults</v>
      </c>
      <c r="C37" s="4" t="s">
        <v>105</v>
      </c>
      <c r="D37" s="4">
        <v>36</v>
      </c>
      <c r="E37" s="4"/>
      <c r="F37" s="4" t="s">
        <v>105</v>
      </c>
      <c r="G37" s="5" t="str">
        <f t="shared" si="0"/>
        <v>SummerLow_Case1_036</v>
      </c>
      <c r="H37" s="5">
        <v>100</v>
      </c>
      <c r="I37" s="4" t="b">
        <v>1</v>
      </c>
      <c r="J37" s="4" t="b">
        <v>1</v>
      </c>
      <c r="K37" s="4">
        <v>0.1</v>
      </c>
      <c r="L37" s="4">
        <v>0.1</v>
      </c>
      <c r="M37" s="4"/>
      <c r="N37" s="4" t="b">
        <v>0</v>
      </c>
      <c r="O37" s="4">
        <v>3</v>
      </c>
      <c r="P37" s="4">
        <v>7</v>
      </c>
      <c r="Q37" s="4">
        <v>5</v>
      </c>
      <c r="R37" s="4">
        <f>IF(Table1735[[#This Row],[CB FAIL SCENARIO]],MAX(Table1735[[#This Row],[NEAR]:[CB FAIL]]),MAX(Table1735[[#This Row],[NEAR]:[FAR]]))</f>
        <v>0.1</v>
      </c>
      <c r="S37" s="4"/>
      <c r="T37" s="4">
        <v>0</v>
      </c>
      <c r="U37" s="4">
        <v>0</v>
      </c>
      <c r="V37" s="4">
        <v>0</v>
      </c>
      <c r="W37" s="4">
        <v>10</v>
      </c>
      <c r="X37" s="4">
        <v>0.5</v>
      </c>
      <c r="Y37" s="4" t="b">
        <v>1</v>
      </c>
      <c r="Z37" s="4" t="b">
        <v>1</v>
      </c>
      <c r="AA37" s="4" t="str">
        <f>"0, AT "&amp;(Table1735[[#This Row],[Fault_Time_sig]])&amp;"s ↑ 1, at "&amp;(Table1735[[#This Row],[Fault_Time_sig]]+Table1735[[#This Row],[Fault_Duration_sig]])&amp;"s ↓ 0"</f>
        <v>0, AT 5s ↑ 1, at 5.1s ↓ 0</v>
      </c>
      <c r="AB37" s="13" t="str">
        <f>"TRIP BRANCH 'SMTXDUMMY|NEAR' AT "&amp;Table1735[[#This Row],[NEAR]]+Table1735[[#This Row],[Fault_Time_sig]]&amp;"s;
TRIP BRANCH 'SMTXDUMMY|FAR' AT "&amp;Table1735[[#This Row],[FAR]]+Table1735[[#This Row],[Fault_Time_sig]]&amp;"s;
RESTORE BRANCH 'SMTXDUMMY|NEAR' AT "&amp;Table1735[[#This Row],[NEAR]]+Table1735[[#This Row],[RECLOSE]]+Table1735[[#This Row],[Fault_Time_sig]]&amp;"s;
RESTORE BRANCH 'SMTXDUMMY|FAR' AT "&amp;Table1735[[#This Row],[NEAR]]+Table1735[[#This Row],[RECLOSE]]+Table1735[[#This Row],[Fault_Time_sig]]&amp;"s;
APPLY FAULT TO BRANCH 'SMTXDUMMY'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'SMTXDUMMY|NEAR' AT 5.1s;
TRIP BRANCH 'SMTXDUMMY|FAR' AT 5.1s;
RESTORE BRANCH 'SMTXDUMMY|NEAR' AT 8.1s;
RESTORE BRANCH 'SMTXDUMMY|FAR' AT 8.1s;
APPLY FAULT TO BRANCH 'SMTXDUMMY' AT 5s WITH TYPE=7, RF_OFFSET=0, XF_OFFSET=0, DURATION=0.1s, DISTANCE=0.5</v>
      </c>
      <c r="AC37" s="5">
        <v>20</v>
      </c>
      <c r="AD37" s="6"/>
      <c r="AE37" s="6"/>
      <c r="AF37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5.1s;
TRIP BRANCH 'BAL220_WAR220|FAR' AT 5.1s;
APPLY FAULT TO BRANCH 'BAL220_WAR220' AT 5s WITH TYPE=7, RF_OFFSET=0, XF_OFFSET=0, DURATION=0.1s, DISTANCE=0.5</v>
      </c>
      <c r="AG37" s="6"/>
    </row>
    <row r="38" spans="1:34" ht="195.6" customHeight="1" x14ac:dyDescent="0.3">
      <c r="A38" s="9" t="s">
        <v>24</v>
      </c>
      <c r="B38" s="4" t="str">
        <f>IF(Table1735[[#This Row],[Fault_Type_sig]]=7,"Balanced Faults",IF(Table1735[[#This Row],[Fault_Type_sig]]=4,"Unbalanced Faults","Plant Trip"))</f>
        <v>Balanced Faults</v>
      </c>
      <c r="C38" s="4" t="s">
        <v>105</v>
      </c>
      <c r="D38" s="9">
        <v>37</v>
      </c>
      <c r="E38" s="9"/>
      <c r="F38" s="4" t="s">
        <v>105</v>
      </c>
      <c r="G38" s="5" t="str">
        <f t="shared" si="0"/>
        <v>SummerLow_Case1_037</v>
      </c>
      <c r="H38" s="5">
        <v>100</v>
      </c>
      <c r="I38" s="9" t="b">
        <v>1</v>
      </c>
      <c r="J38" s="9" t="b">
        <v>1</v>
      </c>
      <c r="K38" s="9">
        <v>0.43</v>
      </c>
      <c r="L38" s="9">
        <v>0.43</v>
      </c>
      <c r="M38" s="9"/>
      <c r="N38" s="4" t="b">
        <v>0</v>
      </c>
      <c r="O38" s="9">
        <v>3</v>
      </c>
      <c r="P38" s="9">
        <v>7</v>
      </c>
      <c r="Q38" s="9">
        <v>5</v>
      </c>
      <c r="R38" s="4">
        <f>IF(Table1735[[#This Row],[CB FAIL SCENARIO]],MAX(Table1735[[#This Row],[NEAR]:[CB FAIL]]),MAX(Table1735[[#This Row],[NEAR]:[FAR]]))</f>
        <v>0.43</v>
      </c>
      <c r="S38" s="9"/>
      <c r="T38" s="9">
        <v>0</v>
      </c>
      <c r="U38" s="9">
        <v>0</v>
      </c>
      <c r="V38" s="9">
        <v>0</v>
      </c>
      <c r="W38" s="9">
        <v>10</v>
      </c>
      <c r="X38" s="9">
        <v>0.5</v>
      </c>
      <c r="Y38" s="9" t="b">
        <v>1</v>
      </c>
      <c r="Z38" s="9" t="b">
        <v>1</v>
      </c>
      <c r="AA38" s="17" t="str">
        <f>"0, AT "&amp;(Table1735[[#This Row],[Fault_Time_sig]])&amp;"s ↑ 1, at "&amp;(Table1735[[#This Row],[Fault_Time_sig]]+Table1735[[#This Row],[Fault_Duration_sig]])&amp;"s ↓ 0"</f>
        <v>0, AT 5s ↑ 1, at 5.43s ↓ 0</v>
      </c>
      <c r="AB38" s="14" t="str">
        <f>"TRIP BRANCH 'SHPTXDUMMY|NEAR' AT "&amp;Table1735[[#This Row],[NEAR]]+Table1735[[#This Row],[Fault_Time_sig]]&amp;"s;
TRIP BRANCH 'SHPTXDUMMY|FAR' AT "&amp;Table1735[[#This Row],[FAR]]+Table1735[[#This Row],[Fault_Time_sig]]&amp;"s;
RESTORE BRANCH 'SHPTXDUMMY|NEAR' AT "&amp;Table1735[[#This Row],[NEAR]]+Table1735[[#This Row],[RECLOSE]]+Table1735[[#This Row],[Fault_Time_sig]]&amp;"s;
RESTORE BRANCH 'SHPTXDUMMY|FAR' AT "&amp;Table1735[[#This Row],[NEAR]]+Table1735[[#This Row],[RECLOSE]]+Table1735[[#This Row],[Fault_Time_sig]]&amp;"s;
APPLY FAULT TO BRANCH 'SHPTXDUMMY'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'SHPTXDUMMY|NEAR' AT 5.43s;
TRIP BRANCH 'SHPTXDUMMY|FAR' AT 5.43s;
RESTORE BRANCH 'SHPTXDUMMY|NEAR' AT 8.43s;
RESTORE BRANCH 'SHPTXDUMMY|FAR' AT 8.43s;
APPLY FAULT TO BRANCH 'SHPTXDUMMY' AT 5s WITH TYPE=7, RF_OFFSET=0, XF_OFFSET=0, DURATION=0.43s, DISTANCE=0.5</v>
      </c>
      <c r="AC38" s="5">
        <v>20</v>
      </c>
      <c r="AD38" s="11"/>
      <c r="AE38" s="11"/>
      <c r="AF38" s="1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5.43s;
TRIP BRANCH 'BAL220_WAR220|FAR' AT 5.43s;
APPLY FAULT TO BRANCH 'BAL220_WAR220' AT 5s WITH TYPE=7, RF_OFFSET=0, XF_OFFSET=0, DURATION=0.43s, DISTANCE=0.5</v>
      </c>
      <c r="AG38" s="16"/>
    </row>
    <row r="39" spans="1:34" ht="43.2" customHeight="1" x14ac:dyDescent="0.3">
      <c r="A39" s="4" t="s">
        <v>24</v>
      </c>
      <c r="B39" s="4" t="str">
        <f>IF(Table1735[[#This Row],[Fault_Type_sig]]=7,"Balanced Faults",IF(Table1735[[#This Row],[Fault_Type_sig]]=4,"Unbalanced Faults","Plant Trip"))</f>
        <v>Plant Trip</v>
      </c>
      <c r="C39" s="4" t="s">
        <v>105</v>
      </c>
      <c r="D39" s="4">
        <v>38</v>
      </c>
      <c r="E39" s="4"/>
      <c r="F39" s="4" t="s">
        <v>105</v>
      </c>
      <c r="G39" s="5" t="str">
        <f t="shared" si="0"/>
        <v>SummerLow_Case1_038</v>
      </c>
      <c r="H39" s="5">
        <v>100</v>
      </c>
      <c r="I39" s="4" t="b">
        <v>1</v>
      </c>
      <c r="J39" s="4" t="b">
        <v>1</v>
      </c>
      <c r="K39" s="4">
        <v>0</v>
      </c>
      <c r="L39" s="4">
        <v>0</v>
      </c>
      <c r="M39" s="4"/>
      <c r="N39" s="4" t="b">
        <v>0</v>
      </c>
      <c r="O39" s="4">
        <v>3</v>
      </c>
      <c r="P39" s="4"/>
      <c r="Q39" s="4">
        <v>5</v>
      </c>
      <c r="R39" s="4">
        <f>IF(Table1735[[#This Row],[CB FAIL SCENARIO]],MAX(Table1735[[#This Row],[NEAR]:[CB FAIL]]),MAX(Table1735[[#This Row],[NEAR]:[FAR]]))</f>
        <v>0</v>
      </c>
      <c r="S39" s="4"/>
      <c r="T39" s="4">
        <v>0</v>
      </c>
      <c r="U39" s="4">
        <v>0</v>
      </c>
      <c r="V39" s="4">
        <v>0</v>
      </c>
      <c r="W39" s="4">
        <v>10</v>
      </c>
      <c r="X39" s="4">
        <v>0.5</v>
      </c>
      <c r="Y39" s="4" t="b">
        <v>1</v>
      </c>
      <c r="Z39" s="4" t="b">
        <v>1</v>
      </c>
      <c r="AA39" s="4" t="str">
        <f>"0, AT "&amp;(Table1735[[#This Row],[Fault_Time_sig]])&amp;"s ↑ 1, at "&amp;(Table1735[[#This Row],[Fault_Time_sig]]+Table1735[[#This Row],[Fault_Duration_sig]])&amp;"s ↓ 0"</f>
        <v>0, AT 5s ↑ 1, at 5s ↓ 0</v>
      </c>
      <c r="AB39" s="13" t="s">
        <v>45</v>
      </c>
      <c r="AC39" s="5">
        <v>20</v>
      </c>
      <c r="AD39" s="6"/>
      <c r="AE39" s="6"/>
      <c r="AF39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5s;
TRIP BRANCH 'BAL220_WAR220|FAR' AT 5s;
APPLY FAULT TO BRANCH 'BAL220_WAR220' AT 5s WITH TYPE=, RF_OFFSET=0, XF_OFFSET=0, DURATION=0s, DISTANCE=0.5</v>
      </c>
      <c r="AG39" s="6"/>
    </row>
    <row r="40" spans="1:34" ht="181.2" customHeight="1" x14ac:dyDescent="0.3">
      <c r="A40" s="4" t="s">
        <v>24</v>
      </c>
      <c r="B40" s="4" t="str">
        <f>IF(Table1735[[#This Row],[Fault_Type_sig]]=7,"Balanced Faults",IF(Table1735[[#This Row],[Fault_Type_sig]]=4,"Unbalanced Faults","Plant Trip"))</f>
        <v>Balanced Faults</v>
      </c>
      <c r="C40" s="4" t="s">
        <v>105</v>
      </c>
      <c r="D40" s="4">
        <v>39</v>
      </c>
      <c r="E40" s="4"/>
      <c r="F40" s="4" t="s">
        <v>105</v>
      </c>
      <c r="G40" s="5" t="str">
        <f t="shared" si="0"/>
        <v>SummerLow_Case1_039</v>
      </c>
      <c r="H40" s="5">
        <v>100</v>
      </c>
      <c r="I40" s="4" t="b">
        <v>1</v>
      </c>
      <c r="J40" s="4" t="b">
        <v>1</v>
      </c>
      <c r="K40" s="4">
        <v>0.08</v>
      </c>
      <c r="L40" s="4">
        <v>0.08</v>
      </c>
      <c r="M40" s="4"/>
      <c r="N40" s="4" t="b">
        <v>0</v>
      </c>
      <c r="O40" s="4">
        <v>3</v>
      </c>
      <c r="P40" s="4">
        <v>7</v>
      </c>
      <c r="Q40" s="4">
        <v>5</v>
      </c>
      <c r="R40" s="4">
        <f>IF(Table1735[[#This Row],[CB FAIL SCENARIO]],MAX(Table1735[[#This Row],[NEAR]:[CB FAIL]]),MAX(Table1735[[#This Row],[NEAR]:[FAR]]))</f>
        <v>0.08</v>
      </c>
      <c r="S40" s="4"/>
      <c r="T40" s="4">
        <v>0</v>
      </c>
      <c r="U40" s="4">
        <v>0</v>
      </c>
      <c r="V40" s="4">
        <v>0</v>
      </c>
      <c r="W40" s="4">
        <v>10</v>
      </c>
      <c r="X40" s="4">
        <v>0.5</v>
      </c>
      <c r="Y40" s="4" t="b">
        <v>1</v>
      </c>
      <c r="Z40" s="4" t="b">
        <v>1</v>
      </c>
      <c r="AA40" s="4" t="str">
        <f>"0, AT "&amp;(Table1735[[#This Row],[Fault_Time_sig]])&amp;"s ↑ 1, at "&amp;(Table1735[[#This Row],[Fault_Time_sig]]+Table1735[[#This Row],[Fault_Duration_sig]])&amp;"s ↓ 0"</f>
        <v>0, AT 5s ↑ 1, at 5.08s ↓ 0</v>
      </c>
      <c r="AB40" s="14" t="str">
        <f>"TRIP BRANCH 'LYB4|NEAR' AT "&amp;Table1735[[#This Row],[NEAR]]+Table1735[[#This Row],[Fault_Time_sig]]&amp;"s;
TRIP BRANCH 'LYB4|FAR' AT "&amp;Table1735[[#This Row],[FAR]]+Table1735[[#This Row],[Fault_Time_sig]]&amp;"s;
RESTORE BRANCH 'LYB4|NEAR' AT "&amp;Table1735[[#This Row],[NEAR]]+Table1735[[#This Row],[RECLOSE]]+Table1735[[#This Row],[Fault_Time_sig]]&amp;"s;
RESTORE BRANCH 'LYB4|FAR' AT "&amp;Table1735[[#This Row],[NEAR]]+Table1735[[#This Row],[RECLOSE]]+Table1735[[#This Row],[Fault_Time_sig]]&amp;"s;
APPLY FAULT TO BRANCH 'LYB4'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'LYB4|NEAR' AT 5.08s;
TRIP BRANCH 'LYB4|FAR' AT 5.08s;
RESTORE BRANCH 'LYB4|NEAR' AT 8.08s;
RESTORE BRANCH 'LYB4|FAR' AT 8.08s;
APPLY FAULT TO BRANCH 'LYB4' AT 5s WITH TYPE=7, RF_OFFSET=0, XF_OFFSET=0, DURATION=0.08s, DISTANCE=0.5</v>
      </c>
      <c r="AC40" s="5">
        <v>20</v>
      </c>
      <c r="AD40" s="6"/>
      <c r="AE40" s="6"/>
      <c r="AF40" s="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5.08s;
TRIP BRANCH 'BAL220_WAR220|FAR' AT 5.08s;
APPLY FAULT TO BRANCH 'BAL220_WAR220' AT 5s WITH TYPE=7, RF_OFFSET=0, XF_OFFSET=0, DURATION=0.08s, DISTANCE=0.5</v>
      </c>
      <c r="AG40" s="6"/>
    </row>
    <row r="41" spans="1:34" ht="43.2" customHeight="1" x14ac:dyDescent="0.3">
      <c r="A41" s="9" t="s">
        <v>24</v>
      </c>
      <c r="B41" s="4" t="str">
        <f>IF(Table1735[[#This Row],[Fault_Type_sig]]=7,"Balanced Faults",IF(Table1735[[#This Row],[Fault_Type_sig]]=4,"Unbalanced Faults","Plant Trip"))</f>
        <v>Plant Trip</v>
      </c>
      <c r="C41" s="4" t="s">
        <v>105</v>
      </c>
      <c r="D41" s="9">
        <v>40</v>
      </c>
      <c r="E41" s="9"/>
      <c r="F41" s="4" t="s">
        <v>105</v>
      </c>
      <c r="G41" s="5" t="str">
        <f t="shared" si="0"/>
        <v>SummerLow_Case1_040</v>
      </c>
      <c r="H41" s="5">
        <v>100</v>
      </c>
      <c r="I41" s="9" t="b">
        <v>1</v>
      </c>
      <c r="J41" s="9" t="b">
        <v>1</v>
      </c>
      <c r="K41" s="9">
        <v>0</v>
      </c>
      <c r="L41" s="9">
        <v>0</v>
      </c>
      <c r="M41" s="9"/>
      <c r="N41" s="4" t="b">
        <v>0</v>
      </c>
      <c r="O41" s="9">
        <v>3</v>
      </c>
      <c r="P41" s="9"/>
      <c r="Q41" s="9">
        <v>5</v>
      </c>
      <c r="R41" s="4">
        <f>IF(Table1735[[#This Row],[CB FAIL SCENARIO]],MAX(Table1735[[#This Row],[NEAR]:[CB FAIL]]),MAX(Table1735[[#This Row],[NEAR]:[FAR]]))</f>
        <v>0</v>
      </c>
      <c r="S41" s="9"/>
      <c r="T41" s="9">
        <v>0</v>
      </c>
      <c r="U41" s="9">
        <v>0</v>
      </c>
      <c r="V41" s="9">
        <v>0</v>
      </c>
      <c r="W41" s="9">
        <v>10</v>
      </c>
      <c r="X41" s="9">
        <v>0.5</v>
      </c>
      <c r="Y41" s="9" t="b">
        <v>1</v>
      </c>
      <c r="Z41" s="9" t="b">
        <v>1</v>
      </c>
      <c r="AA41" s="17" t="str">
        <f>"0, AT "&amp;(Table1735[[#This Row],[Fault_Time_sig]])&amp;"s ↑ 1, at "&amp;(Table1735[[#This Row],[Fault_Time_sig]]+Table1735[[#This Row],[Fault_Duration_sig]])&amp;"s ↓ 0"</f>
        <v>0, AT 5s ↑ 1, at 5s ↓ 0</v>
      </c>
      <c r="AB41" s="14" t="str">
        <f>"TRIP LOAD 'APD' AT "&amp;Table1735[[#This Row],[Fault_Time_sig]]&amp;"s"</f>
        <v>TRIP LOAD 'APD' AT 5s</v>
      </c>
      <c r="AC41" s="5">
        <v>20</v>
      </c>
      <c r="AD41" s="11"/>
      <c r="AE41" s="11"/>
      <c r="AF41" s="16" t="str">
        <f>"TRIP BRANCH 'BAL220_WAR220|NEAR' AT "&amp;Table1735[[#This Row],[NEAR]]+Table1735[[#This Row],[Fault_Time_sig]]&amp;"s;
TRIP BRANCH 'BAL220_WAR220|FAR' AT "&amp;Table1735[[#This Row],[FAR]]+Table1735[[#This Row],[Fault_Time_sig]]&amp;"s;
APPLY FAULT TO BRANCH 'BAL220_WAR220' AT "&amp;Table1735[[#This Row],[Fault_Time_sig]]&amp;"s WITH "
&amp;"TYPE="&amp;Table1735[[#This Row],[Fault_Type_sig]]
&amp;IF(Table1735[[#This Row],[Rf_Offset_sig]]="","",", RF_OFFSET="&amp;Table1735[[#This Row],[Rf_Offset_sig]])
&amp;IF(Table1735[[#This Row],[Xf_Offset_sig]]="","",", XF_OFFSET="&amp;Table1735[[#This Row],[Xf_Offset_sig]])
&amp;IF(Table1735[[#This Row],[Fault_Duration_sig]]="","",", DURATION="&amp;Table1735[[#This Row],[Fault_Duration_sig]]&amp;"s")
&amp;IF(Table1735[[#This Row],[Distance]]="","",", DISTANCE="&amp;Table1735[[#This Row],[Distance]])</f>
        <v>TRIP BRANCH 'BAL220_WAR220|NEAR' AT 5s;
TRIP BRANCH 'BAL220_WAR220|FAR' AT 5s;
APPLY FAULT TO BRANCH 'BAL220_WAR220' AT 5s WITH TYPE=, RF_OFFSET=0, XF_OFFSET=0, DURATION=0s, DISTANCE=0.5</v>
      </c>
      <c r="AG41" s="16"/>
    </row>
  </sheetData>
  <phoneticPr fontId="2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87C39-525E-4C9F-9241-40695C9AFCD1}">
  <sheetPr>
    <tabColor rgb="FF92D050"/>
  </sheetPr>
  <dimension ref="A1:AA14"/>
  <sheetViews>
    <sheetView workbookViewId="0">
      <selection activeCell="J20" sqref="J20"/>
    </sheetView>
  </sheetViews>
  <sheetFormatPr defaultRowHeight="14.4" x14ac:dyDescent="0.3"/>
  <cols>
    <col min="1" max="1" width="15.109375" customWidth="1"/>
    <col min="2" max="3" width="13" customWidth="1"/>
    <col min="4" max="4" width="10.5546875" customWidth="1"/>
    <col min="5" max="5" width="9.44140625" customWidth="1"/>
    <col min="6" max="6" width="12.33203125" customWidth="1"/>
    <col min="7" max="7" width="17.88671875" bestFit="1" customWidth="1"/>
    <col min="8" max="8" width="52.77734375" bestFit="1" customWidth="1"/>
    <col min="9" max="9" width="20.44140625" customWidth="1"/>
    <col min="10" max="11" width="10.5546875" customWidth="1"/>
    <col min="12" max="12" width="24.5546875" customWidth="1"/>
    <col min="13" max="13" width="18.109375" customWidth="1"/>
    <col min="14" max="14" width="24.6640625" customWidth="1"/>
    <col min="15" max="15" width="21" customWidth="1"/>
    <col min="16" max="16" width="16.109375" customWidth="1"/>
    <col min="17" max="17" width="19.33203125" bestFit="1" customWidth="1"/>
    <col min="18" max="18" width="12.88671875" bestFit="1" customWidth="1"/>
    <col min="19" max="19" width="16.109375" bestFit="1" customWidth="1"/>
    <col min="20" max="20" width="17.6640625" bestFit="1" customWidth="1"/>
    <col min="21" max="21" width="96.5546875" customWidth="1"/>
    <col min="22" max="22" width="23.5546875" bestFit="1" customWidth="1"/>
    <col min="23" max="23" width="23.5546875" customWidth="1"/>
    <col min="24" max="24" width="18.88671875" bestFit="1" customWidth="1"/>
    <col min="25" max="25" width="25.21875" bestFit="1" customWidth="1"/>
    <col min="26" max="26" width="27.6640625" bestFit="1" customWidth="1"/>
    <col min="27" max="27" width="10.109375" bestFit="1" customWidth="1"/>
  </cols>
  <sheetData>
    <row r="1" spans="1:27" ht="15" thickBot="1" x14ac:dyDescent="0.35">
      <c r="A1" s="2" t="s">
        <v>0</v>
      </c>
      <c r="B1" s="2" t="s">
        <v>1</v>
      </c>
      <c r="C1" s="2" t="s">
        <v>57</v>
      </c>
      <c r="D1" s="2" t="s">
        <v>58</v>
      </c>
      <c r="E1" s="2" t="s">
        <v>4</v>
      </c>
      <c r="F1" s="2" t="s">
        <v>5</v>
      </c>
      <c r="G1" s="2" t="s">
        <v>107</v>
      </c>
      <c r="H1" s="2" t="s">
        <v>6</v>
      </c>
      <c r="I1" s="5" t="s">
        <v>44</v>
      </c>
      <c r="J1" s="2" t="s">
        <v>2</v>
      </c>
      <c r="K1" s="2" t="s">
        <v>3</v>
      </c>
      <c r="L1" s="34" t="s">
        <v>60</v>
      </c>
      <c r="M1" s="34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78</v>
      </c>
      <c r="S1" s="2" t="s">
        <v>67</v>
      </c>
      <c r="T1" s="2" t="s">
        <v>68</v>
      </c>
      <c r="U1" s="24" t="s">
        <v>23</v>
      </c>
      <c r="V1" s="24" t="s">
        <v>7</v>
      </c>
      <c r="W1" s="24" t="s">
        <v>22</v>
      </c>
      <c r="X1" s="24" t="s">
        <v>8</v>
      </c>
      <c r="Y1" s="24" t="s">
        <v>79</v>
      </c>
      <c r="Z1" s="24" t="s">
        <v>76</v>
      </c>
      <c r="AA1" s="24" t="s">
        <v>69</v>
      </c>
    </row>
    <row r="2" spans="1:27" ht="15" thickBot="1" x14ac:dyDescent="0.35">
      <c r="A2" s="4" t="s">
        <v>24</v>
      </c>
      <c r="B2" s="4" t="s">
        <v>80</v>
      </c>
      <c r="C2" s="4">
        <v>1</v>
      </c>
      <c r="D2" s="4"/>
      <c r="E2" s="4">
        <v>1</v>
      </c>
      <c r="F2" s="4"/>
      <c r="G2" s="4" t="s">
        <v>105</v>
      </c>
      <c r="H2" s="5" t="str">
        <f>Table23[[#This Row],[Case]]&amp;"_"&amp;IF(Table23[[#This Row],[Deliverable]]="","",Table23[[#This Row],[Deliverable]]&amp;"_")&amp;IF(Table23[[#This Row],[Clause]]="","",Table23[[#This Row],[Clause]]&amp;"_")&amp;SUBSTITUTE(Table23[[#This Row],[Category]]," ","")&amp;"_"&amp;TEXT(E2,"000")&amp;IF(F2="","","p"&amp;F2)&amp;"_P"&amp;Table23[[#This Row],[Ppoc_pu]]&amp;"_Q"&amp;ROUND(Table23[[#This Row],[Qpoc_pu]],2)&amp;"_V"&amp;Table23[[#This Row],[Vpoc_pu_sig]]</f>
        <v>SummerLow_Case1_CSR_VrefSteps_001_P1_Q-0.43_V1.077</v>
      </c>
      <c r="I2" s="5">
        <v>100</v>
      </c>
      <c r="J2" s="4" t="b">
        <v>1</v>
      </c>
      <c r="K2" s="4" t="b">
        <v>1</v>
      </c>
      <c r="L2" s="4" t="s">
        <v>103</v>
      </c>
      <c r="M2" s="4" t="s">
        <v>103</v>
      </c>
      <c r="N2" s="4" t="s">
        <v>103</v>
      </c>
      <c r="O2" s="25">
        <v>1.077</v>
      </c>
      <c r="P2" s="4">
        <f>(-42.083/98.75)</f>
        <v>-0.42615696202531644</v>
      </c>
      <c r="Q2" s="31">
        <f>VLOOKUP("POC Qbase (MVAr)", ParamsTable6[#Data], 2, FALSE)*Table23[[#This Row],[Qpoc_pu]]</f>
        <v>-42.082999999999998</v>
      </c>
      <c r="R2" s="27">
        <f>Table23[[#This Row],[Vpoc_pu_sig]]+(Table23[[#This Row],[Qpoc_pu]]*VLOOKUP("Voltage droop (%)", ParamsTable6[#Data], 2, FALSE))</f>
        <v>1.0601668</v>
      </c>
      <c r="S2" s="28">
        <v>1</v>
      </c>
      <c r="T2" s="31">
        <f>Table23[[#This Row],[Ppoc_pu]]*VLOOKUP("POC Pbase (MW)", ParamsTable6[#Data], 2, FALSE)</f>
        <v>250</v>
      </c>
      <c r="U2" s="35" t="str">
        <f>"SET MODEL 'ppc' VAR 16 TO "&amp;(Table23[[#This Row],[Vref_init]]-0.05)&amp;" AT 5s"</f>
        <v>SET MODEL 'ppc' VAR 16 TO 1.0101668 AT 5s</v>
      </c>
      <c r="V2" s="4">
        <v>30</v>
      </c>
      <c r="W2" s="4"/>
      <c r="X2" s="6"/>
      <c r="Y2" s="6" t="s">
        <v>81</v>
      </c>
    </row>
    <row r="3" spans="1:27" ht="15.6" thickTop="1" thickBot="1" x14ac:dyDescent="0.35">
      <c r="A3" s="4" t="s">
        <v>24</v>
      </c>
      <c r="B3" s="4" t="s">
        <v>80</v>
      </c>
      <c r="C3" s="4">
        <v>2</v>
      </c>
      <c r="D3" s="4"/>
      <c r="E3" s="4">
        <v>2</v>
      </c>
      <c r="F3" s="4"/>
      <c r="G3" s="4" t="s">
        <v>105</v>
      </c>
      <c r="H3" s="5" t="str">
        <f>Table23[[#This Row],[Case]]&amp;"_"&amp;IF(Table23[[#This Row],[Deliverable]]="","",Table23[[#This Row],[Deliverable]]&amp;"_")&amp;IF(Table23[[#This Row],[Clause]]="","",Table23[[#This Row],[Clause]]&amp;"_")&amp;SUBSTITUTE(Table23[[#This Row],[Category]]," ","")&amp;"_"&amp;TEXT(E3,"000")&amp;IF(F3="","","p"&amp;F3)&amp;"_P"&amp;Table23[[#This Row],[Ppoc_pu]]&amp;"_Q"&amp;ROUND(Table23[[#This Row],[Qpoc_pu]],2)&amp;"_V"&amp;Table23[[#This Row],[Vpoc_pu_sig]]</f>
        <v>SummerLow_Case1_CSR_VrefSteps_002_P1_Q-0.43_V1.077</v>
      </c>
      <c r="I3" s="5">
        <v>100</v>
      </c>
      <c r="J3" s="4" t="b">
        <v>1</v>
      </c>
      <c r="K3" s="4" t="b">
        <v>1</v>
      </c>
      <c r="L3" s="4" t="s">
        <v>103</v>
      </c>
      <c r="M3" s="4" t="s">
        <v>103</v>
      </c>
      <c r="N3" s="4" t="s">
        <v>103</v>
      </c>
      <c r="O3" s="25">
        <v>1.077</v>
      </c>
      <c r="P3" s="4">
        <f t="shared" ref="P3:P5" si="0">(-42.083/98.75)</f>
        <v>-0.42615696202531644</v>
      </c>
      <c r="Q3" s="31">
        <f>VLOOKUP("POC Qbase (MVAr)", ParamsTable6[#Data], 2, FALSE)*Table23[[#This Row],[Qpoc_pu]]</f>
        <v>-42.082999999999998</v>
      </c>
      <c r="R3" s="27">
        <f>Table23[[#This Row],[Vpoc_pu_sig]]+(Table23[[#This Row],[Qpoc_pu]]*VLOOKUP("Voltage droop (%)", ParamsTable6[#Data], 2, FALSE))</f>
        <v>1.0601668</v>
      </c>
      <c r="S3" s="28">
        <v>1</v>
      </c>
      <c r="T3" s="31">
        <f>Table23[[#This Row],[Ppoc_pu]]*VLOOKUP("POC Pbase (MW)", ParamsTable6[#Data], 2, FALSE)</f>
        <v>250</v>
      </c>
      <c r="U3" s="36" t="str">
        <f>"SET MODEL 'ppc' VAR 16 TO "&amp;(Table23[[#This Row],[Vref_init]]+0.05)&amp;" AT 5s"</f>
        <v>SET MODEL 'ppc' VAR 16 TO 1.1101668 AT 5s</v>
      </c>
      <c r="V3" s="4">
        <v>30</v>
      </c>
      <c r="W3" s="4"/>
      <c r="X3" s="6"/>
      <c r="Y3" s="6" t="s">
        <v>82</v>
      </c>
    </row>
    <row r="4" spans="1:27" ht="15.6" thickTop="1" thickBot="1" x14ac:dyDescent="0.35">
      <c r="A4" s="4" t="s">
        <v>24</v>
      </c>
      <c r="B4" s="4" t="s">
        <v>80</v>
      </c>
      <c r="C4" s="4">
        <v>3</v>
      </c>
      <c r="D4" s="4"/>
      <c r="E4" s="4">
        <v>3</v>
      </c>
      <c r="F4" s="4"/>
      <c r="G4" s="4" t="s">
        <v>105</v>
      </c>
      <c r="H4" s="5" t="str">
        <f>Table23[[#This Row],[Case]]&amp;"_"&amp;IF(Table23[[#This Row],[Deliverable]]="","",Table23[[#This Row],[Deliverable]]&amp;"_")&amp;IF(Table23[[#This Row],[Clause]]="","",Table23[[#This Row],[Clause]]&amp;"_")&amp;SUBSTITUTE(Table23[[#This Row],[Category]]," ","")&amp;"_"&amp;TEXT(E4,"000")&amp;IF(F4="","","p"&amp;F4)&amp;"_P"&amp;Table23[[#This Row],[Ppoc_pu]]&amp;"_Q"&amp;ROUND(Table23[[#This Row],[Qpoc_pu]],2)&amp;"_V"&amp;Table23[[#This Row],[Vpoc_pu_sig]]</f>
        <v>SummerLow_Case1_CSR_VrefSteps_003_P1_Q-0.43_V1.077</v>
      </c>
      <c r="I4" s="5">
        <v>100</v>
      </c>
      <c r="J4" s="4" t="b">
        <v>1</v>
      </c>
      <c r="K4" s="4" t="b">
        <v>1</v>
      </c>
      <c r="L4" s="4" t="s">
        <v>103</v>
      </c>
      <c r="M4" s="4" t="s">
        <v>103</v>
      </c>
      <c r="N4" s="4" t="s">
        <v>103</v>
      </c>
      <c r="O4" s="25">
        <v>1.077</v>
      </c>
      <c r="P4" s="4">
        <f t="shared" si="0"/>
        <v>-0.42615696202531644</v>
      </c>
      <c r="Q4" s="31">
        <f>VLOOKUP("POC Qbase (MVAr)", ParamsTable6[#Data], 2, FALSE)*Table23[[#This Row],[Qpoc_pu]]</f>
        <v>-42.082999999999998</v>
      </c>
      <c r="R4" s="27">
        <f>Table23[[#This Row],[Vpoc_pu_sig]]+(Table23[[#This Row],[Qpoc_pu]]*VLOOKUP("Voltage droop (%)", ParamsTable6[#Data], 2, FALSE))</f>
        <v>1.0601668</v>
      </c>
      <c r="S4" s="28">
        <v>1</v>
      </c>
      <c r="T4" s="31">
        <f>Table23[[#This Row],[Ppoc_pu]]*VLOOKUP("POC Pbase (MW)", ParamsTable6[#Data], 2, FALSE)</f>
        <v>250</v>
      </c>
      <c r="U4" s="37" t="str">
        <f>"SET MODEL 'ppc' VAR 16 TO "&amp;(Table23[[#This Row],[Vref_init]]-0.025)&amp;" AT 5s;"
&amp;"SET MODEL 'ppc' VAR 16 TO "&amp;(Table23[[#This Row],[Vref_init]]+0.05)&amp;" AT 10s"</f>
        <v>SET MODEL 'ppc' VAR 16 TO 1.0351668 AT 5s;SET MODEL 'ppc' VAR 16 TO 1.1101668 AT 10s</v>
      </c>
      <c r="V4" s="4">
        <v>30</v>
      </c>
      <c r="W4" s="4"/>
      <c r="X4" s="6"/>
      <c r="Y4" s="6" t="s">
        <v>83</v>
      </c>
    </row>
    <row r="5" spans="1:27" ht="15.6" thickTop="1" thickBot="1" x14ac:dyDescent="0.35">
      <c r="A5" s="4" t="s">
        <v>24</v>
      </c>
      <c r="B5" s="4" t="s">
        <v>80</v>
      </c>
      <c r="C5" s="4">
        <v>4</v>
      </c>
      <c r="D5" s="4"/>
      <c r="E5" s="4">
        <v>4</v>
      </c>
      <c r="F5" s="4"/>
      <c r="G5" s="4" t="s">
        <v>105</v>
      </c>
      <c r="H5" s="5" t="str">
        <f>Table23[[#This Row],[Case]]&amp;"_"&amp;IF(Table23[[#This Row],[Deliverable]]="","",Table23[[#This Row],[Deliverable]]&amp;"_")&amp;IF(Table23[[#This Row],[Clause]]="","",Table23[[#This Row],[Clause]]&amp;"_")&amp;SUBSTITUTE(Table23[[#This Row],[Category]]," ","")&amp;"_"&amp;TEXT(E5,"000")&amp;IF(F5="","","p"&amp;F5)&amp;"_P"&amp;Table23[[#This Row],[Ppoc_pu]]&amp;"_Q"&amp;ROUND(Table23[[#This Row],[Qpoc_pu]],2)&amp;"_V"&amp;Table23[[#This Row],[Vpoc_pu_sig]]</f>
        <v>SummerLow_Case1_CSR_VrefSteps_004_P1_Q-0.43_V1.077</v>
      </c>
      <c r="I5" s="5">
        <v>100</v>
      </c>
      <c r="J5" s="4" t="b">
        <v>1</v>
      </c>
      <c r="K5" s="4" t="b">
        <v>1</v>
      </c>
      <c r="L5" s="4" t="s">
        <v>103</v>
      </c>
      <c r="M5" s="4" t="s">
        <v>103</v>
      </c>
      <c r="N5" s="4" t="s">
        <v>103</v>
      </c>
      <c r="O5" s="25">
        <v>1.077</v>
      </c>
      <c r="P5" s="4">
        <f t="shared" si="0"/>
        <v>-0.42615696202531644</v>
      </c>
      <c r="Q5" s="31">
        <f>VLOOKUP("POC Qbase (MVAr)", ParamsTable6[#Data], 2, FALSE)*Table23[[#This Row],[Qpoc_pu]]</f>
        <v>-42.082999999999998</v>
      </c>
      <c r="R5" s="27">
        <f>Table23[[#This Row],[Vpoc_pu_sig]]+(Table23[[#This Row],[Qpoc_pu]]*VLOOKUP("Voltage droop (%)", ParamsTable6[#Data], 2, FALSE))</f>
        <v>1.0601668</v>
      </c>
      <c r="S5" s="28">
        <v>1</v>
      </c>
      <c r="T5" s="31">
        <f>Table23[[#This Row],[Ppoc_pu]]*VLOOKUP("POC Pbase (MW)", ParamsTable6[#Data], 2, FALSE)</f>
        <v>250</v>
      </c>
      <c r="U5" s="37" t="str">
        <f>"SET MODEL 'ppc' VAR 16 TO "&amp;(Table23[[#This Row],[Vref_init]]+0.025)&amp;" AT 5s;"
&amp;"SET MODEL 'ppc' VAR 16 TO "&amp;(Table23[[#This Row],[Vref_init]]-0.05)&amp;" AT 10s"</f>
        <v>SET MODEL 'ppc' VAR 16 TO 1.0851668 AT 5s;SET MODEL 'ppc' VAR 16 TO 1.0101668 AT 10s</v>
      </c>
      <c r="V5" s="4">
        <v>30</v>
      </c>
      <c r="W5" s="4"/>
      <c r="X5" s="6"/>
      <c r="Y5" s="6" t="s">
        <v>84</v>
      </c>
    </row>
    <row r="6" spans="1:27" ht="15.6" thickTop="1" thickBot="1" x14ac:dyDescent="0.35">
      <c r="A6" s="4" t="s">
        <v>24</v>
      </c>
      <c r="B6" s="4" t="s">
        <v>80</v>
      </c>
      <c r="C6" s="4">
        <v>1</v>
      </c>
      <c r="D6" s="4"/>
      <c r="E6" s="4">
        <v>1</v>
      </c>
      <c r="F6" s="4"/>
      <c r="G6" s="4" t="s">
        <v>106</v>
      </c>
      <c r="H6" s="5" t="str">
        <f>Table23[[#This Row],[Case]]&amp;"_"&amp;IF(Table23[[#This Row],[Deliverable]]="","",Table23[[#This Row],[Deliverable]]&amp;"_")&amp;IF(Table23[[#This Row],[Clause]]="","",Table23[[#This Row],[Clause]]&amp;"_")&amp;SUBSTITUTE(Table23[[#This Row],[Category]]," ","")&amp;"_"&amp;TEXT(E6,"000")&amp;IF(F6="","","p"&amp;F6)&amp;"_P"&amp;Table23[[#This Row],[Ppoc_pu]]&amp;"_Q"&amp;ROUND(Table23[[#This Row],[Qpoc_pu]],2)&amp;"_V"&amp;Table23[[#This Row],[Vpoc_pu_sig]]</f>
        <v>SummerLow_Case2_CSR_VrefSteps_001_P1_Q-0.16_V1.0669</v>
      </c>
      <c r="I6" s="5">
        <v>100</v>
      </c>
      <c r="J6" s="4" t="b">
        <v>1</v>
      </c>
      <c r="K6" s="4" t="b">
        <v>1</v>
      </c>
      <c r="L6" s="4" t="s">
        <v>103</v>
      </c>
      <c r="M6" s="4" t="s">
        <v>103</v>
      </c>
      <c r="N6" s="4" t="s">
        <v>103</v>
      </c>
      <c r="O6" s="25">
        <v>1.0669</v>
      </c>
      <c r="P6" s="4">
        <f t="shared" ref="P6:P9" si="1">(-16.03/98.75)</f>
        <v>-0.16232911392405064</v>
      </c>
      <c r="Q6" s="31">
        <f>VLOOKUP("POC Qbase (MVAr)", ParamsTable6[#Data], 2, FALSE)*Table23[[#This Row],[Qpoc_pu]]</f>
        <v>-16.03</v>
      </c>
      <c r="R6" s="27">
        <f>Table23[[#This Row],[Vpoc_pu_sig]]+(Table23[[#This Row],[Qpoc_pu]]*VLOOKUP("Voltage droop (%)", ParamsTable6[#Data], 2, FALSE))</f>
        <v>1.0604879999999999</v>
      </c>
      <c r="S6" s="28">
        <v>1</v>
      </c>
      <c r="T6" s="31">
        <f>Table23[[#This Row],[Ppoc_pu]]*VLOOKUP("POC Pbase (MW)", ParamsTable6[#Data], 2, FALSE)</f>
        <v>250</v>
      </c>
      <c r="U6" s="35" t="str">
        <f>"SET MODEL 'ppc' VAR 16 TO "&amp;(Table23[[#This Row],[Vref_init]]-0.05)&amp;" AT 5s"</f>
        <v>SET MODEL 'ppc' VAR 16 TO 1.010488 AT 5s</v>
      </c>
      <c r="V6" s="4">
        <v>30</v>
      </c>
      <c r="W6" s="4"/>
      <c r="X6" s="6"/>
      <c r="Y6" s="6" t="s">
        <v>81</v>
      </c>
    </row>
    <row r="7" spans="1:27" ht="15.6" thickTop="1" thickBot="1" x14ac:dyDescent="0.35">
      <c r="A7" s="4" t="s">
        <v>24</v>
      </c>
      <c r="B7" s="4" t="s">
        <v>80</v>
      </c>
      <c r="C7" s="4">
        <v>2</v>
      </c>
      <c r="D7" s="4"/>
      <c r="E7" s="4">
        <v>2</v>
      </c>
      <c r="F7" s="4"/>
      <c r="G7" s="4" t="s">
        <v>106</v>
      </c>
      <c r="H7" s="5" t="str">
        <f>Table23[[#This Row],[Case]]&amp;"_"&amp;IF(Table23[[#This Row],[Deliverable]]="","",Table23[[#This Row],[Deliverable]]&amp;"_")&amp;IF(Table23[[#This Row],[Clause]]="","",Table23[[#This Row],[Clause]]&amp;"_")&amp;SUBSTITUTE(Table23[[#This Row],[Category]]," ","")&amp;"_"&amp;TEXT(E7,"000")&amp;IF(F7="","","p"&amp;F7)&amp;"_P"&amp;Table23[[#This Row],[Ppoc_pu]]&amp;"_Q"&amp;ROUND(Table23[[#This Row],[Qpoc_pu]],2)&amp;"_V"&amp;Table23[[#This Row],[Vpoc_pu_sig]]</f>
        <v>SummerLow_Case2_CSR_VrefSteps_002_P1_Q-0.16_V1.0669</v>
      </c>
      <c r="I7" s="5">
        <v>100</v>
      </c>
      <c r="J7" s="4" t="b">
        <v>1</v>
      </c>
      <c r="K7" s="4" t="b">
        <v>1</v>
      </c>
      <c r="L7" s="4" t="s">
        <v>103</v>
      </c>
      <c r="M7" s="4" t="s">
        <v>103</v>
      </c>
      <c r="N7" s="4" t="s">
        <v>103</v>
      </c>
      <c r="O7" s="25">
        <v>1.0669</v>
      </c>
      <c r="P7" s="4">
        <f t="shared" si="1"/>
        <v>-0.16232911392405064</v>
      </c>
      <c r="Q7" s="31">
        <f>VLOOKUP("POC Qbase (MVAr)", ParamsTable6[#Data], 2, FALSE)*Table23[[#This Row],[Qpoc_pu]]</f>
        <v>-16.03</v>
      </c>
      <c r="R7" s="27">
        <f>Table23[[#This Row],[Vpoc_pu_sig]]+(Table23[[#This Row],[Qpoc_pu]]*VLOOKUP("Voltage droop (%)", ParamsTable6[#Data], 2, FALSE))</f>
        <v>1.0604879999999999</v>
      </c>
      <c r="S7" s="28">
        <v>1</v>
      </c>
      <c r="T7" s="31">
        <f>Table23[[#This Row],[Ppoc_pu]]*VLOOKUP("POC Pbase (MW)", ParamsTable6[#Data], 2, FALSE)</f>
        <v>250</v>
      </c>
      <c r="U7" s="36" t="str">
        <f>"SET MODEL 'ppc' VAR 16 TO "&amp;(Table23[[#This Row],[Vref_init]]+0.05)&amp;" AT 5s"</f>
        <v>SET MODEL 'ppc' VAR 16 TO 1.110488 AT 5s</v>
      </c>
      <c r="V7" s="4">
        <v>30</v>
      </c>
      <c r="W7" s="4"/>
      <c r="X7" s="6"/>
      <c r="Y7" s="6" t="s">
        <v>82</v>
      </c>
    </row>
    <row r="8" spans="1:27" ht="15.6" thickTop="1" thickBot="1" x14ac:dyDescent="0.35">
      <c r="A8" s="4" t="s">
        <v>24</v>
      </c>
      <c r="B8" s="4" t="s">
        <v>80</v>
      </c>
      <c r="C8" s="4">
        <v>3</v>
      </c>
      <c r="D8" s="4"/>
      <c r="E8" s="4">
        <v>3</v>
      </c>
      <c r="F8" s="4"/>
      <c r="G8" s="4" t="s">
        <v>106</v>
      </c>
      <c r="H8" s="5" t="str">
        <f>Table23[[#This Row],[Case]]&amp;"_"&amp;IF(Table23[[#This Row],[Deliverable]]="","",Table23[[#This Row],[Deliverable]]&amp;"_")&amp;IF(Table23[[#This Row],[Clause]]="","",Table23[[#This Row],[Clause]]&amp;"_")&amp;SUBSTITUTE(Table23[[#This Row],[Category]]," ","")&amp;"_"&amp;TEXT(E8,"000")&amp;IF(F8="","","p"&amp;F8)&amp;"_P"&amp;Table23[[#This Row],[Ppoc_pu]]&amp;"_Q"&amp;ROUND(Table23[[#This Row],[Qpoc_pu]],2)&amp;"_V"&amp;Table23[[#This Row],[Vpoc_pu_sig]]</f>
        <v>SummerLow_Case2_CSR_VrefSteps_003_P1_Q-0.16_V1.0669</v>
      </c>
      <c r="I8" s="5">
        <v>100</v>
      </c>
      <c r="J8" s="4" t="b">
        <v>1</v>
      </c>
      <c r="K8" s="4" t="b">
        <v>1</v>
      </c>
      <c r="L8" s="4" t="s">
        <v>103</v>
      </c>
      <c r="M8" s="4" t="s">
        <v>103</v>
      </c>
      <c r="N8" s="4" t="s">
        <v>103</v>
      </c>
      <c r="O8" s="25">
        <v>1.0669</v>
      </c>
      <c r="P8" s="4">
        <f t="shared" si="1"/>
        <v>-0.16232911392405064</v>
      </c>
      <c r="Q8" s="31">
        <f>VLOOKUP("POC Qbase (MVAr)", ParamsTable6[#Data], 2, FALSE)*Table23[[#This Row],[Qpoc_pu]]</f>
        <v>-16.03</v>
      </c>
      <c r="R8" s="27">
        <f>Table23[[#This Row],[Vpoc_pu_sig]]+(Table23[[#This Row],[Qpoc_pu]]*VLOOKUP("Voltage droop (%)", ParamsTable6[#Data], 2, FALSE))</f>
        <v>1.0604879999999999</v>
      </c>
      <c r="S8" s="28">
        <v>1</v>
      </c>
      <c r="T8" s="31">
        <f>Table23[[#This Row],[Ppoc_pu]]*VLOOKUP("POC Pbase (MW)", ParamsTable6[#Data], 2, FALSE)</f>
        <v>250</v>
      </c>
      <c r="U8" s="37" t="str">
        <f>"SET MODEL 'ppc' VAR 16 TO "&amp;(Table23[[#This Row],[Vref_init]]-0.025)&amp;" AT 5s;"
&amp;"SET MODEL 'ppc' VAR 16 TO "&amp;(Table23[[#This Row],[Vref_init]]+0.05)&amp;" AT 10s"</f>
        <v>SET MODEL 'ppc' VAR 16 TO 1.035488 AT 5s;SET MODEL 'ppc' VAR 16 TO 1.110488 AT 10s</v>
      </c>
      <c r="V8" s="4">
        <v>30</v>
      </c>
      <c r="W8" s="4"/>
      <c r="X8" s="6"/>
      <c r="Y8" s="6" t="s">
        <v>83</v>
      </c>
    </row>
    <row r="9" spans="1:27" ht="15.6" thickTop="1" thickBot="1" x14ac:dyDescent="0.35">
      <c r="A9" s="4" t="s">
        <v>24</v>
      </c>
      <c r="B9" s="4" t="s">
        <v>80</v>
      </c>
      <c r="C9" s="4">
        <v>4</v>
      </c>
      <c r="D9" s="4"/>
      <c r="E9" s="4">
        <v>4</v>
      </c>
      <c r="F9" s="4"/>
      <c r="G9" s="4" t="s">
        <v>106</v>
      </c>
      <c r="H9" s="5" t="str">
        <f>Table23[[#This Row],[Case]]&amp;"_"&amp;IF(Table23[[#This Row],[Deliverable]]="","",Table23[[#This Row],[Deliverable]]&amp;"_")&amp;IF(Table23[[#This Row],[Clause]]="","",Table23[[#This Row],[Clause]]&amp;"_")&amp;SUBSTITUTE(Table23[[#This Row],[Category]]," ","")&amp;"_"&amp;TEXT(E9,"000")&amp;IF(F9="","","p"&amp;F9)&amp;"_P"&amp;Table23[[#This Row],[Ppoc_pu]]&amp;"_Q"&amp;ROUND(Table23[[#This Row],[Qpoc_pu]],2)&amp;"_V"&amp;Table23[[#This Row],[Vpoc_pu_sig]]</f>
        <v>SummerLow_Case2_CSR_VrefSteps_004_P1_Q-0.16_V1.0669</v>
      </c>
      <c r="I9" s="5">
        <v>100</v>
      </c>
      <c r="J9" s="4" t="b">
        <v>1</v>
      </c>
      <c r="K9" s="4" t="b">
        <v>1</v>
      </c>
      <c r="L9" s="4" t="s">
        <v>103</v>
      </c>
      <c r="M9" s="4" t="s">
        <v>103</v>
      </c>
      <c r="N9" s="4" t="s">
        <v>103</v>
      </c>
      <c r="O9" s="25">
        <v>1.0669</v>
      </c>
      <c r="P9" s="4">
        <f t="shared" si="1"/>
        <v>-0.16232911392405064</v>
      </c>
      <c r="Q9" s="31">
        <f>VLOOKUP("POC Qbase (MVAr)", ParamsTable6[#Data], 2, FALSE)*Table23[[#This Row],[Qpoc_pu]]</f>
        <v>-16.03</v>
      </c>
      <c r="R9" s="27">
        <f>Table23[[#This Row],[Vpoc_pu_sig]]+(Table23[[#This Row],[Qpoc_pu]]*VLOOKUP("Voltage droop (%)", ParamsTable6[#Data], 2, FALSE))</f>
        <v>1.0604879999999999</v>
      </c>
      <c r="S9" s="28">
        <v>1</v>
      </c>
      <c r="T9" s="31">
        <f>Table23[[#This Row],[Ppoc_pu]]*VLOOKUP("POC Pbase (MW)", ParamsTable6[#Data], 2, FALSE)</f>
        <v>250</v>
      </c>
      <c r="U9" s="37" t="str">
        <f>"SET MODEL 'ppc' VAR 16 TO "&amp;(Table23[[#This Row],[Vref_init]]+0.025)&amp;" AT 5s;"
&amp;"SET MODEL 'ppc' VAR 16 TO "&amp;(Table23[[#This Row],[Vref_init]]-0.05)&amp;" AT 10s"</f>
        <v>SET MODEL 'ppc' VAR 16 TO 1.085488 AT 5s;SET MODEL 'ppc' VAR 16 TO 1.010488 AT 10s</v>
      </c>
      <c r="V9" s="4">
        <v>30</v>
      </c>
      <c r="W9" s="4"/>
      <c r="X9" s="6"/>
      <c r="Y9" s="6" t="s">
        <v>84</v>
      </c>
    </row>
    <row r="10" spans="1:27" ht="15.6" thickTop="1" thickBot="1" x14ac:dyDescent="0.35">
      <c r="A10" s="4" t="s">
        <v>24</v>
      </c>
      <c r="B10" s="4" t="s">
        <v>80</v>
      </c>
      <c r="C10" s="4">
        <v>1</v>
      </c>
      <c r="D10" s="4"/>
      <c r="E10" s="4">
        <v>1</v>
      </c>
      <c r="F10" s="4"/>
      <c r="G10" s="4" t="s">
        <v>104</v>
      </c>
      <c r="H10" s="5" t="str">
        <f>Table23[[#This Row],[Case]]&amp;"_"&amp;IF(Table23[[#This Row],[Deliverable]]="","",Table23[[#This Row],[Deliverable]]&amp;"_")&amp;IF(Table23[[#This Row],[Clause]]="","",Table23[[#This Row],[Clause]]&amp;"_")&amp;SUBSTITUTE(Table23[[#This Row],[Category]]," ","")&amp;"_"&amp;TEXT(E10,"000")&amp;IF(F10="","","p"&amp;F10)&amp;"_P"&amp;Table23[[#This Row],[Ppoc_pu]]&amp;"_Q"&amp;ROUND(Table23[[#This Row],[Qpoc_pu]],2)&amp;"_V"&amp;Table23[[#This Row],[Vpoc_pu_sig]]</f>
        <v>SummerHigh_CSR_VrefSteps_001_P1_Q-0.27_V1.071</v>
      </c>
      <c r="I10" s="5">
        <v>100</v>
      </c>
      <c r="J10" s="4" t="b">
        <v>1</v>
      </c>
      <c r="K10" s="4" t="b">
        <v>1</v>
      </c>
      <c r="L10" s="4" t="s">
        <v>103</v>
      </c>
      <c r="M10" s="4" t="s">
        <v>103</v>
      </c>
      <c r="N10" s="4" t="s">
        <v>103</v>
      </c>
      <c r="O10" s="25">
        <v>1.071</v>
      </c>
      <c r="P10" s="4">
        <f>(-26.8/98.75)</f>
        <v>-0.27139240506329115</v>
      </c>
      <c r="Q10" s="31">
        <f>VLOOKUP("POC Qbase (MVAr)", ParamsTable6[#Data], 2, FALSE)*Table23[[#This Row],[Qpoc_pu]]</f>
        <v>-26.8</v>
      </c>
      <c r="R10" s="27">
        <f>Table23[[#This Row],[Vpoc_pu_sig]]+(Table23[[#This Row],[Qpoc_pu]]*VLOOKUP("Voltage droop (%)", ParamsTable6[#Data], 2, FALSE))</f>
        <v>1.0602799999999999</v>
      </c>
      <c r="S10" s="28">
        <v>1</v>
      </c>
      <c r="T10" s="31">
        <f>Table23[[#This Row],[Ppoc_pu]]*VLOOKUP("POC Pbase (MW)", ParamsTable6[#Data], 2, FALSE)</f>
        <v>250</v>
      </c>
      <c r="U10" s="35" t="str">
        <f>"SET MODEL 'ppc' VAR 16 TO "&amp;(Table23[[#This Row],[Vref_init]]-0.05)&amp;" AT 5s"</f>
        <v>SET MODEL 'ppc' VAR 16 TO 1.01028 AT 5s</v>
      </c>
      <c r="V10" s="4">
        <v>30</v>
      </c>
      <c r="W10" s="4"/>
      <c r="X10" s="6"/>
      <c r="Y10" s="6" t="s">
        <v>81</v>
      </c>
    </row>
    <row r="11" spans="1:27" ht="15.6" thickTop="1" thickBot="1" x14ac:dyDescent="0.35">
      <c r="A11" s="4" t="s">
        <v>24</v>
      </c>
      <c r="B11" s="4" t="s">
        <v>80</v>
      </c>
      <c r="C11" s="4">
        <v>2</v>
      </c>
      <c r="D11" s="4"/>
      <c r="E11" s="4">
        <v>2</v>
      </c>
      <c r="F11" s="4"/>
      <c r="G11" s="4" t="s">
        <v>104</v>
      </c>
      <c r="H11" s="5" t="str">
        <f>Table23[[#This Row],[Case]]&amp;"_"&amp;IF(Table23[[#This Row],[Deliverable]]="","",Table23[[#This Row],[Deliverable]]&amp;"_")&amp;IF(Table23[[#This Row],[Clause]]="","",Table23[[#This Row],[Clause]]&amp;"_")&amp;SUBSTITUTE(Table23[[#This Row],[Category]]," ","")&amp;"_"&amp;TEXT(E11,"000")&amp;IF(F11="","","p"&amp;F11)&amp;"_P"&amp;Table23[[#This Row],[Ppoc_pu]]&amp;"_Q"&amp;ROUND(Table23[[#This Row],[Qpoc_pu]],2)&amp;"_V"&amp;Table23[[#This Row],[Vpoc_pu_sig]]</f>
        <v>SummerHigh_CSR_VrefSteps_002_P1_Q-0.27_V1.071</v>
      </c>
      <c r="I11" s="5">
        <v>100</v>
      </c>
      <c r="J11" s="4" t="b">
        <v>1</v>
      </c>
      <c r="K11" s="4" t="b">
        <v>1</v>
      </c>
      <c r="L11" s="4" t="s">
        <v>103</v>
      </c>
      <c r="M11" s="4" t="s">
        <v>103</v>
      </c>
      <c r="N11" s="4" t="s">
        <v>103</v>
      </c>
      <c r="O11" s="25">
        <v>1.071</v>
      </c>
      <c r="P11" s="4">
        <f t="shared" ref="P11:P13" si="2">(-26.8/98.75)</f>
        <v>-0.27139240506329115</v>
      </c>
      <c r="Q11" s="31">
        <f>VLOOKUP("POC Qbase (MVAr)", ParamsTable6[#Data], 2, FALSE)*Table23[[#This Row],[Qpoc_pu]]</f>
        <v>-26.8</v>
      </c>
      <c r="R11" s="27">
        <f>Table23[[#This Row],[Vpoc_pu_sig]]+(Table23[[#This Row],[Qpoc_pu]]*VLOOKUP("Voltage droop (%)", ParamsTable6[#Data], 2, FALSE))</f>
        <v>1.0602799999999999</v>
      </c>
      <c r="S11" s="28">
        <v>1</v>
      </c>
      <c r="T11" s="31">
        <f>Table23[[#This Row],[Ppoc_pu]]*VLOOKUP("POC Pbase (MW)", ParamsTable6[#Data], 2, FALSE)</f>
        <v>250</v>
      </c>
      <c r="U11" s="36" t="str">
        <f>"SET MODEL 'ppc' VAR 16 TO "&amp;(Table23[[#This Row],[Vref_init]]+0.05)&amp;" AT 5s"</f>
        <v>SET MODEL 'ppc' VAR 16 TO 1.11028 AT 5s</v>
      </c>
      <c r="V11" s="4">
        <v>30</v>
      </c>
      <c r="W11" s="4"/>
      <c r="X11" s="6"/>
      <c r="Y11" s="6" t="s">
        <v>82</v>
      </c>
    </row>
    <row r="12" spans="1:27" ht="15.6" thickTop="1" thickBot="1" x14ac:dyDescent="0.35">
      <c r="A12" s="4" t="s">
        <v>24</v>
      </c>
      <c r="B12" s="4" t="s">
        <v>80</v>
      </c>
      <c r="C12" s="4">
        <v>3</v>
      </c>
      <c r="D12" s="4"/>
      <c r="E12" s="4">
        <v>3</v>
      </c>
      <c r="F12" s="4"/>
      <c r="G12" s="4" t="s">
        <v>104</v>
      </c>
      <c r="H12" s="5" t="str">
        <f>Table23[[#This Row],[Case]]&amp;"_"&amp;IF(Table23[[#This Row],[Deliverable]]="","",Table23[[#This Row],[Deliverable]]&amp;"_")&amp;IF(Table23[[#This Row],[Clause]]="","",Table23[[#This Row],[Clause]]&amp;"_")&amp;SUBSTITUTE(Table23[[#This Row],[Category]]," ","")&amp;"_"&amp;TEXT(E12,"000")&amp;IF(F12="","","p"&amp;F12)&amp;"_P"&amp;Table23[[#This Row],[Ppoc_pu]]&amp;"_Q"&amp;ROUND(Table23[[#This Row],[Qpoc_pu]],2)&amp;"_V"&amp;Table23[[#This Row],[Vpoc_pu_sig]]</f>
        <v>SummerHigh_CSR_VrefSteps_003_P1_Q-0.27_V1.071</v>
      </c>
      <c r="I12" s="5">
        <v>100</v>
      </c>
      <c r="J12" s="4" t="b">
        <v>1</v>
      </c>
      <c r="K12" s="4" t="b">
        <v>1</v>
      </c>
      <c r="L12" s="4" t="s">
        <v>103</v>
      </c>
      <c r="M12" s="4" t="s">
        <v>103</v>
      </c>
      <c r="N12" s="4" t="s">
        <v>103</v>
      </c>
      <c r="O12" s="25">
        <v>1.071</v>
      </c>
      <c r="P12" s="4">
        <f t="shared" si="2"/>
        <v>-0.27139240506329115</v>
      </c>
      <c r="Q12" s="31">
        <f>VLOOKUP("POC Qbase (MVAr)", ParamsTable6[#Data], 2, FALSE)*Table23[[#This Row],[Qpoc_pu]]</f>
        <v>-26.8</v>
      </c>
      <c r="R12" s="27">
        <f>Table23[[#This Row],[Vpoc_pu_sig]]+(Table23[[#This Row],[Qpoc_pu]]*VLOOKUP("Voltage droop (%)", ParamsTable6[#Data], 2, FALSE))</f>
        <v>1.0602799999999999</v>
      </c>
      <c r="S12" s="28">
        <v>1</v>
      </c>
      <c r="T12" s="31">
        <f>Table23[[#This Row],[Ppoc_pu]]*VLOOKUP("POC Pbase (MW)", ParamsTable6[#Data], 2, FALSE)</f>
        <v>250</v>
      </c>
      <c r="U12" s="37" t="str">
        <f>"SET MODEL 'ppc' VAR 16 TO "&amp;(Table23[[#This Row],[Vref_init]]-0.025)&amp;" AT 5s;"
&amp;"SET MODEL 'ppc' VAR 16 TO "&amp;(Table23[[#This Row],[Vref_init]]+0.05)&amp;" AT 10s"</f>
        <v>SET MODEL 'ppc' VAR 16 TO 1.03528 AT 5s;SET MODEL 'ppc' VAR 16 TO 1.11028 AT 10s</v>
      </c>
      <c r="V12" s="4">
        <v>30</v>
      </c>
      <c r="W12" s="4"/>
      <c r="X12" s="6"/>
      <c r="Y12" s="6" t="s">
        <v>83</v>
      </c>
    </row>
    <row r="13" spans="1:27" ht="15.6" thickTop="1" thickBot="1" x14ac:dyDescent="0.35">
      <c r="A13" s="4" t="s">
        <v>24</v>
      </c>
      <c r="B13" s="4" t="s">
        <v>80</v>
      </c>
      <c r="C13" s="4">
        <v>4</v>
      </c>
      <c r="D13" s="4"/>
      <c r="E13" s="4">
        <v>4</v>
      </c>
      <c r="F13" s="4"/>
      <c r="G13" s="4" t="s">
        <v>104</v>
      </c>
      <c r="H13" s="5" t="str">
        <f>Table23[[#This Row],[Case]]&amp;"_"&amp;IF(Table23[[#This Row],[Deliverable]]="","",Table23[[#This Row],[Deliverable]]&amp;"_")&amp;IF(Table23[[#This Row],[Clause]]="","",Table23[[#This Row],[Clause]]&amp;"_")&amp;SUBSTITUTE(Table23[[#This Row],[Category]]," ","")&amp;"_"&amp;TEXT(E13,"000")&amp;IF(F13="","","p"&amp;F13)&amp;"_P"&amp;Table23[[#This Row],[Ppoc_pu]]&amp;"_Q"&amp;ROUND(Table23[[#This Row],[Qpoc_pu]],2)&amp;"_V"&amp;Table23[[#This Row],[Vpoc_pu_sig]]</f>
        <v>SummerHigh_CSR_VrefSteps_004_P1_Q-0.27_V1.071</v>
      </c>
      <c r="I13" s="5">
        <v>100</v>
      </c>
      <c r="J13" s="4" t="b">
        <v>1</v>
      </c>
      <c r="K13" s="4" t="b">
        <v>1</v>
      </c>
      <c r="L13" s="4" t="s">
        <v>103</v>
      </c>
      <c r="M13" s="4" t="s">
        <v>103</v>
      </c>
      <c r="N13" s="4" t="s">
        <v>103</v>
      </c>
      <c r="O13" s="25">
        <v>1.071</v>
      </c>
      <c r="P13" s="4">
        <f t="shared" si="2"/>
        <v>-0.27139240506329115</v>
      </c>
      <c r="Q13" s="31">
        <f>VLOOKUP("POC Qbase (MVAr)", ParamsTable6[#Data], 2, FALSE)*Table23[[#This Row],[Qpoc_pu]]</f>
        <v>-26.8</v>
      </c>
      <c r="R13" s="27">
        <f>Table23[[#This Row],[Vpoc_pu_sig]]+(Table23[[#This Row],[Qpoc_pu]]*VLOOKUP("Voltage droop (%)", ParamsTable6[#Data], 2, FALSE))</f>
        <v>1.0602799999999999</v>
      </c>
      <c r="S13" s="28">
        <v>1</v>
      </c>
      <c r="T13" s="31">
        <f>Table23[[#This Row],[Ppoc_pu]]*VLOOKUP("POC Pbase (MW)", ParamsTable6[#Data], 2, FALSE)</f>
        <v>250</v>
      </c>
      <c r="U13" s="37" t="str">
        <f>"SET MODEL 'ppc' VAR 16 TO "&amp;(Table23[[#This Row],[Vref_init]]+0.025)&amp;" AT 5s;"
&amp;"SET MODEL 'ppc' VAR 16 TO "&amp;(Table23[[#This Row],[Vref_init]]-0.05)&amp;" AT 10s"</f>
        <v>SET MODEL 'ppc' VAR 16 TO 1.08528 AT 5s;SET MODEL 'ppc' VAR 16 TO 1.01028 AT 10s</v>
      </c>
      <c r="V13" s="4">
        <v>30</v>
      </c>
      <c r="W13" s="4"/>
      <c r="X13" s="6"/>
      <c r="Y13" s="6" t="s">
        <v>84</v>
      </c>
    </row>
    <row r="14" spans="1:27" ht="15" thickTop="1" x14ac:dyDescent="0.3"/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7847-B4B2-48A4-A2DD-423C9FF364E2}">
  <sheetPr>
    <tabColor rgb="FF92D050"/>
  </sheetPr>
  <dimension ref="A1:AE14"/>
  <sheetViews>
    <sheetView topLeftCell="Q1" zoomScale="90" zoomScaleNormal="90" workbookViewId="0">
      <selection activeCell="I2" sqref="I2:I13"/>
    </sheetView>
  </sheetViews>
  <sheetFormatPr defaultRowHeight="25.2" customHeight="1" x14ac:dyDescent="0.3"/>
  <cols>
    <col min="1" max="7" width="17.88671875" customWidth="1"/>
    <col min="8" max="9" width="46.6640625" customWidth="1"/>
    <col min="10" max="20" width="17.88671875" customWidth="1"/>
    <col min="21" max="21" width="108.21875" customWidth="1"/>
    <col min="22" max="22" width="31.77734375" customWidth="1"/>
    <col min="23" max="23" width="17.88671875" customWidth="1"/>
    <col min="24" max="24" width="59.6640625" bestFit="1" customWidth="1"/>
    <col min="25" max="25" width="18.77734375" bestFit="1" customWidth="1"/>
    <col min="26" max="26" width="27.44140625" bestFit="1" customWidth="1"/>
    <col min="27" max="31" width="17.88671875" customWidth="1"/>
  </cols>
  <sheetData>
    <row r="1" spans="1:31" ht="25.2" customHeight="1" thickBot="1" x14ac:dyDescent="0.35">
      <c r="A1" s="2" t="s">
        <v>0</v>
      </c>
      <c r="B1" s="2" t="s">
        <v>1</v>
      </c>
      <c r="C1" s="2" t="s">
        <v>57</v>
      </c>
      <c r="D1" s="2" t="s">
        <v>58</v>
      </c>
      <c r="E1" s="2" t="s">
        <v>4</v>
      </c>
      <c r="F1" s="2" t="s">
        <v>5</v>
      </c>
      <c r="G1" s="2" t="s">
        <v>107</v>
      </c>
      <c r="H1" s="2" t="s">
        <v>6</v>
      </c>
      <c r="I1" s="5" t="s">
        <v>44</v>
      </c>
      <c r="J1" s="2" t="s">
        <v>2</v>
      </c>
      <c r="K1" s="2" t="s">
        <v>3</v>
      </c>
      <c r="L1" s="34" t="s">
        <v>60</v>
      </c>
      <c r="M1" s="34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78</v>
      </c>
      <c r="S1" s="2" t="s">
        <v>67</v>
      </c>
      <c r="T1" s="2" t="s">
        <v>68</v>
      </c>
      <c r="U1" s="24" t="s">
        <v>23</v>
      </c>
      <c r="V1" s="24" t="s">
        <v>7</v>
      </c>
      <c r="W1" s="24" t="s">
        <v>22</v>
      </c>
      <c r="X1" s="24" t="s">
        <v>79</v>
      </c>
      <c r="Y1" s="24" t="s">
        <v>8</v>
      </c>
      <c r="Z1" s="24" t="s">
        <v>76</v>
      </c>
      <c r="AA1" s="24" t="s">
        <v>69</v>
      </c>
      <c r="AB1" s="3" t="s">
        <v>85</v>
      </c>
      <c r="AC1" s="3" t="s">
        <v>86</v>
      </c>
      <c r="AD1" s="3" t="s">
        <v>87</v>
      </c>
      <c r="AE1" s="3" t="s">
        <v>88</v>
      </c>
    </row>
    <row r="2" spans="1:31" ht="25.2" customHeight="1" thickBot="1" x14ac:dyDescent="0.35">
      <c r="A2" s="4" t="s">
        <v>24</v>
      </c>
      <c r="B2" s="4" t="s">
        <v>89</v>
      </c>
      <c r="C2" s="4">
        <v>1</v>
      </c>
      <c r="D2" s="4"/>
      <c r="E2" s="4">
        <v>1</v>
      </c>
      <c r="F2" s="4"/>
      <c r="G2" s="4" t="s">
        <v>105</v>
      </c>
      <c r="H2" s="5" t="str">
        <f>Table2338[[#This Row],[Case]]&amp;"_"&amp;IF(Table2338[[#This Row],[Deliverable]]="","",Table2338[[#This Row],[Deliverable]]&amp;"_")&amp;IF(Table2338[[#This Row],[Clause]]="","",Table2338[[#This Row],[Clause]]&amp;"_")&amp;SUBSTITUTE(Table2338[[#This Row],[Category]]," ","")&amp;"_"&amp;TEXT(E2,"000")&amp;IF(F2="","","p"&amp;F2)&amp;"_P"&amp;Table2338[[#This Row],[Ppoc_pu]]&amp;"_Q"&amp;ROUND(Table2338[[#This Row],[Qpoc_pu]],2)&amp;"_V"&amp;Table2338[[#This Row],[Vpoc_pu_sig]]</f>
        <v>SummerLow_Case1_CSR_QrefSteps_001_P1_Q-0.43_V1.077</v>
      </c>
      <c r="I2" s="5">
        <v>100</v>
      </c>
      <c r="J2" s="4" t="b">
        <v>1</v>
      </c>
      <c r="K2" s="4" t="b">
        <v>1</v>
      </c>
      <c r="L2" s="4" t="s">
        <v>103</v>
      </c>
      <c r="M2" s="4" t="s">
        <v>103</v>
      </c>
      <c r="N2" s="4" t="s">
        <v>103</v>
      </c>
      <c r="O2" s="25">
        <v>1.077</v>
      </c>
      <c r="P2" s="4">
        <f>(-42.083/98.75)</f>
        <v>-0.42615696202531644</v>
      </c>
      <c r="Q2" s="31">
        <f>VLOOKUP("POC Qbase (MVAr)", ParamsTable6[#Data], 2, FALSE)*Table2338[[#This Row],[Qpoc_pu]]</f>
        <v>-42.082999999999998</v>
      </c>
      <c r="R2" s="27">
        <f>Table2338[[#This Row],[Vpoc_pu_sig]]+(Table2338[[#This Row],[Qpoc_pu]]*VLOOKUP("Voltage droop (%)", ParamsTable6[#Data], 2, FALSE))</f>
        <v>1.0601668</v>
      </c>
      <c r="S2" s="28">
        <v>1</v>
      </c>
      <c r="T2" s="31">
        <f>Table2338[[#This Row],[Ppoc_pu]]*VLOOKUP("POC Pbase (MW)", ParamsTable6[#Data], 2, FALSE)</f>
        <v>250</v>
      </c>
      <c r="U2" s="38" t="str">
        <f>"SET MODEL 'ppc' CON 161 TO "&amp;(303)&amp;" AT 0s; "&amp;
"DRIVE MODEL 'ppc' VAR 14 = AT 5s ↓ "&amp;(Table2338[[#This Row],[Qpoc_pu]]-0.5)&amp;",WITH SCALING="&amp;(1000*VLOOKUP("POC Qbase (MVAr)", ParamsTable6[#All], 2, FALSE))</f>
        <v>SET MODEL 'ppc' CON 161 TO 303 AT 0s; DRIVE MODEL 'ppc' VAR 14 = AT 5s ↓ -0.926156962025316,WITH SCALING=98750</v>
      </c>
      <c r="V2" s="4">
        <v>30</v>
      </c>
      <c r="W2" s="4"/>
      <c r="X2" s="6" t="str">
        <f>IF(Table2338[[#This Row],[Signal2]]=0,"Qref "&amp;Table2338[[#This Row],[Signal1]]&amp;"p.u at "&amp;Table2338[[#This Row],[T1]]&amp;"s","Qref "&amp;Table2338[[#This Row],[Signal1]]&amp;"pu at "&amp;Table2338[[#This Row],[T1]]&amp;"s, "&amp;Table2338[[#This Row],[Signal2]]&amp;"pu at "&amp;Table2338[[#This Row],[T2]]&amp;"s")</f>
        <v>Qref -0.926156962025316p.u at 5s</v>
      </c>
      <c r="Y2" s="6"/>
      <c r="AB2">
        <f>(Table2338[[#This Row],[Qpoc_pu]]-0.5)</f>
        <v>-0.9261569620253165</v>
      </c>
      <c r="AC2">
        <v>0</v>
      </c>
      <c r="AD2">
        <v>5</v>
      </c>
      <c r="AE2">
        <v>0</v>
      </c>
    </row>
    <row r="3" spans="1:31" ht="25.2" customHeight="1" thickTop="1" thickBot="1" x14ac:dyDescent="0.35">
      <c r="A3" s="4" t="s">
        <v>24</v>
      </c>
      <c r="B3" s="4" t="s">
        <v>89</v>
      </c>
      <c r="C3" s="4">
        <v>2</v>
      </c>
      <c r="D3" s="4"/>
      <c r="E3" s="4">
        <v>2</v>
      </c>
      <c r="F3" s="4"/>
      <c r="G3" s="4" t="s">
        <v>105</v>
      </c>
      <c r="H3" s="5" t="str">
        <f>Table2338[[#This Row],[Case]]&amp;"_"&amp;IF(Table2338[[#This Row],[Deliverable]]="","",Table2338[[#This Row],[Deliverable]]&amp;"_")&amp;IF(Table2338[[#This Row],[Clause]]="","",Table2338[[#This Row],[Clause]]&amp;"_")&amp;SUBSTITUTE(Table2338[[#This Row],[Category]]," ","")&amp;"_"&amp;TEXT(E3,"000")&amp;IF(F3="","","p"&amp;F3)&amp;"_P"&amp;Table2338[[#This Row],[Ppoc_pu]]&amp;"_Q"&amp;ROUND(Table2338[[#This Row],[Qpoc_pu]],2)&amp;"_V"&amp;Table2338[[#This Row],[Vpoc_pu_sig]]</f>
        <v>SummerLow_Case1_CSR_QrefSteps_002_P1_Q-0.43_V2.077</v>
      </c>
      <c r="I3" s="5">
        <v>100</v>
      </c>
      <c r="J3" s="4" t="b">
        <v>1</v>
      </c>
      <c r="K3" s="4" t="b">
        <v>1</v>
      </c>
      <c r="L3" s="4" t="s">
        <v>103</v>
      </c>
      <c r="M3" s="4" t="s">
        <v>103</v>
      </c>
      <c r="N3" s="4" t="s">
        <v>103</v>
      </c>
      <c r="O3" s="25">
        <v>2.077</v>
      </c>
      <c r="P3" s="4">
        <f t="shared" ref="P3:P5" si="0">(-42.083/98.75)</f>
        <v>-0.42615696202531644</v>
      </c>
      <c r="Q3" s="31">
        <f>VLOOKUP("POC Qbase (MVAr)", ParamsTable6[#Data], 2, FALSE)*Table2338[[#This Row],[Qpoc_pu]]</f>
        <v>-42.082999999999998</v>
      </c>
      <c r="R3" s="27">
        <f>Table2338[[#This Row],[Vpoc_pu_sig]]+(Table2338[[#This Row],[Qpoc_pu]]*VLOOKUP("Voltage droop (%)", ParamsTable6[#Data], 2, FALSE))</f>
        <v>2.0601667999999997</v>
      </c>
      <c r="S3" s="28">
        <v>1</v>
      </c>
      <c r="T3" s="31">
        <f>Table2338[[#This Row],[Ppoc_pu]]*VLOOKUP("POC Pbase (MW)", ParamsTable6[#Data], 2, FALSE)</f>
        <v>250</v>
      </c>
      <c r="U3" s="37" t="str">
        <f>"SET MODEL 'ppc' CON 161 TO "&amp;(303)&amp;" AT 0s; "&amp;
"DRIVE MODEL 'ppc' VAR 14 = AT 5s ↑ "&amp;(Table2338[[#This Row],[Qpoc_pu]]+0.5)&amp;",WITH SCALING="&amp;(1000*VLOOKUP("POC Qbase (MVAr)", ParamsTable6[#All], 2, FALSE))</f>
        <v>SET MODEL 'ppc' CON 161 TO 303 AT 0s; DRIVE MODEL 'ppc' VAR 14 = AT 5s ↑ 0.0738430379746836,WITH SCALING=98750</v>
      </c>
      <c r="V3" s="4">
        <v>30</v>
      </c>
      <c r="W3" s="4"/>
      <c r="X3" s="6" t="str">
        <f>IF(Table2338[[#This Row],[Signal2]]=0,"Qref "&amp;Table2338[[#This Row],[Signal1]]&amp;"p.u at "&amp;Table2338[[#This Row],[T1]]&amp;"s","Qref "&amp;Table2338[[#This Row],[Signal1]]&amp;"pu at "&amp;Table2338[[#This Row],[T1]]&amp;"s, "&amp;Table2338[[#This Row],[Signal2]]&amp;"pu at "&amp;Table2338[[#This Row],[T2]]&amp;"s")</f>
        <v>Qref 0.0738430379746836p.u at 5s</v>
      </c>
      <c r="Y3" s="6"/>
      <c r="AB3">
        <f>(Table2338[[#This Row],[Qpoc_pu]]+0.5)</f>
        <v>7.3843037974683556E-2</v>
      </c>
      <c r="AC3">
        <v>0</v>
      </c>
      <c r="AD3">
        <v>5</v>
      </c>
      <c r="AE3">
        <v>0</v>
      </c>
    </row>
    <row r="4" spans="1:31" ht="25.2" customHeight="1" thickTop="1" thickBot="1" x14ac:dyDescent="0.35">
      <c r="A4" s="4" t="s">
        <v>24</v>
      </c>
      <c r="B4" s="4" t="s">
        <v>89</v>
      </c>
      <c r="C4" s="4">
        <v>3</v>
      </c>
      <c r="D4" s="4"/>
      <c r="E4" s="4">
        <v>3</v>
      </c>
      <c r="F4" s="4"/>
      <c r="G4" s="4" t="s">
        <v>105</v>
      </c>
      <c r="H4" s="5" t="str">
        <f>Table2338[[#This Row],[Case]]&amp;"_"&amp;IF(Table2338[[#This Row],[Deliverable]]="","",Table2338[[#This Row],[Deliverable]]&amp;"_")&amp;IF(Table2338[[#This Row],[Clause]]="","",Table2338[[#This Row],[Clause]]&amp;"_")&amp;SUBSTITUTE(Table2338[[#This Row],[Category]]," ","")&amp;"_"&amp;TEXT(E4,"000")&amp;IF(F4="","","p"&amp;F4)&amp;"_P"&amp;Table2338[[#This Row],[Ppoc_pu]]&amp;"_Q"&amp;ROUND(Table2338[[#This Row],[Qpoc_pu]],2)&amp;"_V"&amp;Table2338[[#This Row],[Vpoc_pu_sig]]</f>
        <v>SummerLow_Case1_CSR_QrefSteps_003_P1_Q-0.43_V3.077</v>
      </c>
      <c r="I4" s="5">
        <v>100</v>
      </c>
      <c r="J4" s="4" t="b">
        <v>1</v>
      </c>
      <c r="K4" s="4" t="b">
        <v>1</v>
      </c>
      <c r="L4" s="4" t="s">
        <v>103</v>
      </c>
      <c r="M4" s="4" t="s">
        <v>103</v>
      </c>
      <c r="N4" s="4" t="s">
        <v>103</v>
      </c>
      <c r="O4" s="25">
        <v>3.077</v>
      </c>
      <c r="P4" s="4">
        <f t="shared" si="0"/>
        <v>-0.42615696202531644</v>
      </c>
      <c r="Q4" s="31">
        <f>VLOOKUP("POC Qbase (MVAr)", ParamsTable6[#Data], 2, FALSE)*Table2338[[#This Row],[Qpoc_pu]]</f>
        <v>-42.082999999999998</v>
      </c>
      <c r="R4" s="27">
        <f>Table2338[[#This Row],[Vpoc_pu_sig]]+(Table2338[[#This Row],[Qpoc_pu]]*VLOOKUP("Voltage droop (%)", ParamsTable6[#Data], 2, FALSE))</f>
        <v>3.0601667999999997</v>
      </c>
      <c r="S4" s="28">
        <v>1</v>
      </c>
      <c r="T4" s="31">
        <f>Table2338[[#This Row],[Ppoc_pu]]*VLOOKUP("POC Pbase (MW)", ParamsTable6[#Data], 2, FALSE)</f>
        <v>250</v>
      </c>
      <c r="U4" s="37" t="str">
        <f>"SET MODEL 'ppc' CON 161 TO "&amp;(303)&amp;" AT 0s; "&amp;
"DRIVE MODEL 'ppc' VAR 14 = AT 5s ↓ "&amp;(Table2338[[#This Row],[Qpoc_pu]]-0.25)&amp;", AT 15s ↑ "&amp;(Table2338[[#This Row],[Qpoc_pu]]+0.5)&amp;", WITH SCALING="&amp;(1000*VLOOKUP("POC Qbase (MVAr)", ParamsTable6[#All], 2, FALSE))</f>
        <v>SET MODEL 'ppc' CON 161 TO 303 AT 0s; DRIVE MODEL 'ppc' VAR 14 = AT 5s ↓ -0.676156962025316, AT 15s ↑ 0.0738430379746836, WITH SCALING=98750</v>
      </c>
      <c r="V4" s="4">
        <v>30</v>
      </c>
      <c r="W4" s="4"/>
      <c r="X4" s="6" t="str">
        <f>IF(Table2338[[#This Row],[Signal2]]=0,"Qref "&amp;Table2338[[#This Row],[Signal1]]&amp;"p.u at "&amp;Table2338[[#This Row],[T1]]&amp;"s","Qref "&amp;Table2338[[#This Row],[Signal1]]&amp;"pu at "&amp;Table2338[[#This Row],[T1]]&amp;"s, "&amp;Table2338[[#This Row],[Signal2]]&amp;"pu at "&amp;Table2338[[#This Row],[T2]]&amp;"s")</f>
        <v>Qref -0.676156962025316pu at 5s, 0.0738430379746836pu at 15s</v>
      </c>
      <c r="Y4" s="6"/>
      <c r="AB4">
        <f>(Table2338[[#This Row],[Qpoc_pu]]-0.25)</f>
        <v>-0.6761569620253165</v>
      </c>
      <c r="AC4">
        <f>(Table2338[[#This Row],[Qpoc_pu]]+0.5)</f>
        <v>7.3843037974683556E-2</v>
      </c>
      <c r="AD4">
        <v>5</v>
      </c>
      <c r="AE4">
        <v>15</v>
      </c>
    </row>
    <row r="5" spans="1:31" ht="25.2" customHeight="1" thickTop="1" thickBot="1" x14ac:dyDescent="0.35">
      <c r="A5" s="4" t="s">
        <v>24</v>
      </c>
      <c r="B5" s="4" t="s">
        <v>89</v>
      </c>
      <c r="C5" s="4">
        <v>4</v>
      </c>
      <c r="D5" s="4"/>
      <c r="E5" s="4">
        <v>4</v>
      </c>
      <c r="F5" s="4"/>
      <c r="G5" s="4" t="s">
        <v>105</v>
      </c>
      <c r="H5" s="5" t="str">
        <f>Table2338[[#This Row],[Case]]&amp;"_"&amp;IF(Table2338[[#This Row],[Deliverable]]="","",Table2338[[#This Row],[Deliverable]]&amp;"_")&amp;IF(Table2338[[#This Row],[Clause]]="","",Table2338[[#This Row],[Clause]]&amp;"_")&amp;SUBSTITUTE(Table2338[[#This Row],[Category]]," ","")&amp;"_"&amp;TEXT(E5,"000")&amp;IF(F5="","","p"&amp;F5)&amp;"_P"&amp;Table2338[[#This Row],[Ppoc_pu]]&amp;"_Q"&amp;ROUND(Table2338[[#This Row],[Qpoc_pu]],2)&amp;"_V"&amp;Table2338[[#This Row],[Vpoc_pu_sig]]</f>
        <v>SummerLow_Case1_CSR_QrefSteps_004_P1_Q-0.43_V4.077</v>
      </c>
      <c r="I5" s="5">
        <v>100</v>
      </c>
      <c r="J5" s="4" t="b">
        <v>1</v>
      </c>
      <c r="K5" s="4" t="b">
        <v>1</v>
      </c>
      <c r="L5" s="4" t="s">
        <v>103</v>
      </c>
      <c r="M5" s="4" t="s">
        <v>103</v>
      </c>
      <c r="N5" s="4" t="s">
        <v>103</v>
      </c>
      <c r="O5" s="25">
        <v>4.077</v>
      </c>
      <c r="P5" s="4">
        <f t="shared" si="0"/>
        <v>-0.42615696202531644</v>
      </c>
      <c r="Q5" s="31">
        <f>VLOOKUP("POC Qbase (MVAr)", ParamsTable6[#Data], 2, FALSE)*Table2338[[#This Row],[Qpoc_pu]]</f>
        <v>-42.082999999999998</v>
      </c>
      <c r="R5" s="27">
        <f>Table2338[[#This Row],[Vpoc_pu_sig]]+(Table2338[[#This Row],[Qpoc_pu]]*VLOOKUP("Voltage droop (%)", ParamsTable6[#Data], 2, FALSE))</f>
        <v>4.0601668000000002</v>
      </c>
      <c r="S5" s="28">
        <v>1</v>
      </c>
      <c r="T5" s="31">
        <f>Table2338[[#This Row],[Ppoc_pu]]*VLOOKUP("POC Pbase (MW)", ParamsTable6[#Data], 2, FALSE)</f>
        <v>250</v>
      </c>
      <c r="U5" s="37" t="str">
        <f>"SET MODEL 'ppc' CON 161 TO "&amp;(303)&amp;" AT 0s; "&amp;
"DRIVE MODEL 'ppc' VAR 14 = AT 5s ↑ "&amp;(Table2338[[#This Row],[Qpoc_pu]]+0.25)&amp;", AT 15s ↓ "&amp;(Table2338[[#This Row],[Qpoc_pu]]-0.5)&amp;", WITH SCALING="&amp;(1000*VLOOKUP("POC Qbase (MVAr)", ParamsTable6[#All], 2, FALSE))</f>
        <v>SET MODEL 'ppc' CON 161 TO 303 AT 0s; DRIVE MODEL 'ppc' VAR 14 = AT 5s ↑ -0.176156962025316, AT 15s ↓ -0.926156962025316, WITH SCALING=98750</v>
      </c>
      <c r="V5" s="4">
        <v>30</v>
      </c>
      <c r="W5" s="4"/>
      <c r="X5" s="6" t="str">
        <f>IF(Table2338[[#This Row],[Signal2]]=0,"Qref "&amp;Table2338[[#This Row],[Signal1]]&amp;"p.u at "&amp;Table2338[[#This Row],[T1]]&amp;"s","Qref "&amp;Table2338[[#This Row],[Signal1]]&amp;"pu at "&amp;Table2338[[#This Row],[T1]]&amp;"s, "&amp;Table2338[[#This Row],[Signal2]]&amp;"pu at "&amp;Table2338[[#This Row],[T2]]&amp;"s")</f>
        <v>Qref -0.176156962025316pu at 5s, -0.926156962025316pu at 15s</v>
      </c>
      <c r="Y5" s="6"/>
      <c r="AB5">
        <f>(Table2338[[#This Row],[Qpoc_pu]]+0.25)</f>
        <v>-0.17615696202531644</v>
      </c>
      <c r="AC5">
        <f>(Table2338[[#This Row],[Qpoc_pu]]-0.5)</f>
        <v>-0.9261569620253165</v>
      </c>
      <c r="AD5">
        <v>5</v>
      </c>
      <c r="AE5">
        <v>15</v>
      </c>
    </row>
    <row r="6" spans="1:31" ht="25.2" customHeight="1" thickTop="1" thickBot="1" x14ac:dyDescent="0.35">
      <c r="A6" s="4" t="s">
        <v>24</v>
      </c>
      <c r="B6" s="4" t="s">
        <v>89</v>
      </c>
      <c r="C6" s="4">
        <v>1</v>
      </c>
      <c r="D6" s="4"/>
      <c r="E6" s="4">
        <v>1</v>
      </c>
      <c r="F6" s="4"/>
      <c r="G6" s="4" t="s">
        <v>106</v>
      </c>
      <c r="H6" s="5" t="str">
        <f>Table2338[[#This Row],[Case]]&amp;"_"&amp;IF(Table2338[[#This Row],[Deliverable]]="","",Table2338[[#This Row],[Deliverable]]&amp;"_")&amp;IF(Table2338[[#This Row],[Clause]]="","",Table2338[[#This Row],[Clause]]&amp;"_")&amp;SUBSTITUTE(Table2338[[#This Row],[Category]]," ","")&amp;"_"&amp;TEXT(E6,"000")&amp;IF(F6="","","p"&amp;F6)&amp;"_P"&amp;Table2338[[#This Row],[Ppoc_pu]]&amp;"_Q"&amp;ROUND(Table2338[[#This Row],[Qpoc_pu]],2)&amp;"_V"&amp;Table2338[[#This Row],[Vpoc_pu_sig]]</f>
        <v>SummerLow_Case2_CSR_QrefSteps_001_P1_Q-0.16_V1.0669</v>
      </c>
      <c r="I6" s="5">
        <v>100</v>
      </c>
      <c r="J6" s="4" t="b">
        <v>1</v>
      </c>
      <c r="K6" s="4" t="b">
        <v>1</v>
      </c>
      <c r="L6" s="4" t="s">
        <v>103</v>
      </c>
      <c r="M6" s="4" t="s">
        <v>103</v>
      </c>
      <c r="N6" s="4" t="s">
        <v>103</v>
      </c>
      <c r="O6" s="25">
        <v>1.0669</v>
      </c>
      <c r="P6" s="28">
        <f>(-16.03/98.75)</f>
        <v>-0.16232911392405064</v>
      </c>
      <c r="Q6" s="31">
        <f>VLOOKUP("POC Qbase (MVAr)", ParamsTable6[#Data], 2, FALSE)*Table2338[[#This Row],[Qpoc_pu]]</f>
        <v>-16.03</v>
      </c>
      <c r="R6" s="27">
        <f>Table2338[[#This Row],[Vpoc_pu_sig]]+(Table2338[[#This Row],[Qpoc_pu]]*VLOOKUP("Voltage droop (%)", ParamsTable6[#Data], 2, FALSE))</f>
        <v>1.0604879999999999</v>
      </c>
      <c r="S6" s="28">
        <v>1</v>
      </c>
      <c r="T6" s="33">
        <f>Table2338[[#This Row],[Ppoc_pu]]*VLOOKUP("POC Pbase (MW)", ParamsTable6[#Data], 2, FALSE)</f>
        <v>250</v>
      </c>
      <c r="U6" s="38" t="str">
        <f>"SET MODEL 'ppc' CON 161 TO "&amp;(303)&amp;" AT 0s; "&amp;
"DRIVE MODEL 'ppc' VAR 14 = AT 5s ↓ "&amp;(Table2338[[#This Row],[Qpoc_pu]]-0.5)&amp;",WITH SCALING="&amp;(1000*VLOOKUP("POC Qbase (MVAr)", ParamsTable6[#All], 2, FALSE))</f>
        <v>SET MODEL 'ppc' CON 161 TO 303 AT 0s; DRIVE MODEL 'ppc' VAR 14 = AT 5s ↓ -0.662329113924051,WITH SCALING=98750</v>
      </c>
      <c r="V6" s="4">
        <v>30</v>
      </c>
      <c r="W6" s="4"/>
      <c r="X6" s="39" t="str">
        <f>IF(Table2338[[#This Row],[Signal2]]=0,"Qref "&amp;Table2338[[#This Row],[Signal1]]&amp;"p.u at "&amp;Table2338[[#This Row],[T1]]&amp;"s","Qref "&amp;Table2338[[#This Row],[Signal1]]&amp;"pu at "&amp;Table2338[[#This Row],[T1]]&amp;"s, "&amp;Table2338[[#This Row],[Signal2]]&amp;"pu at "&amp;Table2338[[#This Row],[T2]]&amp;"s")</f>
        <v>Qref -0.662329113924051p.u at 5s</v>
      </c>
      <c r="Y6" s="6"/>
      <c r="AB6">
        <f>(Table2338[[#This Row],[Qpoc_pu]]-0.5)</f>
        <v>-0.66232911392405058</v>
      </c>
      <c r="AC6">
        <v>0</v>
      </c>
      <c r="AD6">
        <v>5</v>
      </c>
      <c r="AE6">
        <v>0</v>
      </c>
    </row>
    <row r="7" spans="1:31" ht="25.2" customHeight="1" thickTop="1" thickBot="1" x14ac:dyDescent="0.35">
      <c r="A7" s="4" t="s">
        <v>24</v>
      </c>
      <c r="B7" s="4" t="s">
        <v>89</v>
      </c>
      <c r="C7" s="4">
        <v>2</v>
      </c>
      <c r="D7" s="4"/>
      <c r="E7" s="4">
        <v>2</v>
      </c>
      <c r="F7" s="4"/>
      <c r="G7" s="4" t="s">
        <v>106</v>
      </c>
      <c r="H7" s="5" t="str">
        <f>Table2338[[#This Row],[Case]]&amp;"_"&amp;IF(Table2338[[#This Row],[Deliverable]]="","",Table2338[[#This Row],[Deliverable]]&amp;"_")&amp;IF(Table2338[[#This Row],[Clause]]="","",Table2338[[#This Row],[Clause]]&amp;"_")&amp;SUBSTITUTE(Table2338[[#This Row],[Category]]," ","")&amp;"_"&amp;TEXT(E7,"000")&amp;IF(F7="","","p"&amp;F7)&amp;"_P"&amp;Table2338[[#This Row],[Ppoc_pu]]&amp;"_Q"&amp;ROUND(Table2338[[#This Row],[Qpoc_pu]],2)&amp;"_V"&amp;Table2338[[#This Row],[Vpoc_pu_sig]]</f>
        <v>SummerLow_Case2_CSR_QrefSteps_002_P1_Q-0.16_V1.0669</v>
      </c>
      <c r="I7" s="5">
        <v>100</v>
      </c>
      <c r="J7" s="4" t="b">
        <v>1</v>
      </c>
      <c r="K7" s="4" t="b">
        <v>1</v>
      </c>
      <c r="L7" s="4" t="s">
        <v>103</v>
      </c>
      <c r="M7" s="4" t="s">
        <v>103</v>
      </c>
      <c r="N7" s="4" t="s">
        <v>103</v>
      </c>
      <c r="O7" s="25">
        <v>1.0669</v>
      </c>
      <c r="P7" s="28">
        <f t="shared" ref="P7:P9" si="1">(-16.03/98.75)</f>
        <v>-0.16232911392405064</v>
      </c>
      <c r="Q7" s="31">
        <f>VLOOKUP("POC Qbase (MVAr)", ParamsTable6[#Data], 2, FALSE)*Table2338[[#This Row],[Qpoc_pu]]</f>
        <v>-16.03</v>
      </c>
      <c r="R7" s="27">
        <f>Table2338[[#This Row],[Vpoc_pu_sig]]+(Table2338[[#This Row],[Qpoc_pu]]*VLOOKUP("Voltage droop (%)", ParamsTable6[#Data], 2, FALSE))</f>
        <v>1.0604879999999999</v>
      </c>
      <c r="S7" s="28">
        <v>1</v>
      </c>
      <c r="T7" s="33">
        <f>Table2338[[#This Row],[Ppoc_pu]]*VLOOKUP("POC Pbase (MW)", ParamsTable6[#Data], 2, FALSE)</f>
        <v>250</v>
      </c>
      <c r="U7" s="37" t="str">
        <f>"SET MODEL 'ppc' CON 161 TO "&amp;(303)&amp;" AT 0s; "&amp;
"DRIVE MODEL 'ppc' VAR 14 = AT 5s ↑ "&amp;(Table2338[[#This Row],[Qpoc_pu]]+0.5)&amp;",WITH SCALING="&amp;(1000*VLOOKUP("POC Qbase (MVAr)", ParamsTable6[#All], 2, FALSE))</f>
        <v>SET MODEL 'ppc' CON 161 TO 303 AT 0s; DRIVE MODEL 'ppc' VAR 14 = AT 5s ↑ 0.337670886075949,WITH SCALING=98750</v>
      </c>
      <c r="V7" s="4">
        <v>30</v>
      </c>
      <c r="W7" s="4"/>
      <c r="X7" s="39" t="str">
        <f>IF(Table2338[[#This Row],[Signal2]]=0,"Qref "&amp;Table2338[[#This Row],[Signal1]]&amp;"p.u at "&amp;Table2338[[#This Row],[T1]]&amp;"s","Qref "&amp;Table2338[[#This Row],[Signal1]]&amp;"pu at "&amp;Table2338[[#This Row],[T1]]&amp;"s, "&amp;Table2338[[#This Row],[Signal2]]&amp;"pu at "&amp;Table2338[[#This Row],[T2]]&amp;"s")</f>
        <v>Qref 0.337670886075949p.u at 5s</v>
      </c>
      <c r="Y7" s="6"/>
      <c r="AB7">
        <f>(Table2338[[#This Row],[Qpoc_pu]]+0.5)</f>
        <v>0.33767088607594936</v>
      </c>
      <c r="AC7">
        <v>0</v>
      </c>
      <c r="AD7">
        <v>5</v>
      </c>
      <c r="AE7">
        <v>0</v>
      </c>
    </row>
    <row r="8" spans="1:31" ht="25.2" customHeight="1" thickTop="1" thickBot="1" x14ac:dyDescent="0.35">
      <c r="A8" s="4" t="s">
        <v>24</v>
      </c>
      <c r="B8" s="4" t="s">
        <v>89</v>
      </c>
      <c r="C8" s="4">
        <v>3</v>
      </c>
      <c r="D8" s="4"/>
      <c r="E8" s="4">
        <v>3</v>
      </c>
      <c r="F8" s="4"/>
      <c r="G8" s="4" t="s">
        <v>106</v>
      </c>
      <c r="H8" s="5" t="str">
        <f>Table2338[[#This Row],[Case]]&amp;"_"&amp;IF(Table2338[[#This Row],[Deliverable]]="","",Table2338[[#This Row],[Deliverable]]&amp;"_")&amp;IF(Table2338[[#This Row],[Clause]]="","",Table2338[[#This Row],[Clause]]&amp;"_")&amp;SUBSTITUTE(Table2338[[#This Row],[Category]]," ","")&amp;"_"&amp;TEXT(E8,"000")&amp;IF(F8="","","p"&amp;F8)&amp;"_P"&amp;Table2338[[#This Row],[Ppoc_pu]]&amp;"_Q"&amp;ROUND(Table2338[[#This Row],[Qpoc_pu]],2)&amp;"_V"&amp;Table2338[[#This Row],[Vpoc_pu_sig]]</f>
        <v>SummerLow_Case2_CSR_QrefSteps_003_P1_Q-0.16_V1.0669</v>
      </c>
      <c r="I8" s="5">
        <v>100</v>
      </c>
      <c r="J8" s="4" t="b">
        <v>1</v>
      </c>
      <c r="K8" s="4" t="b">
        <v>1</v>
      </c>
      <c r="L8" s="4" t="s">
        <v>103</v>
      </c>
      <c r="M8" s="4" t="s">
        <v>103</v>
      </c>
      <c r="N8" s="4" t="s">
        <v>103</v>
      </c>
      <c r="O8" s="25">
        <v>1.0669</v>
      </c>
      <c r="P8" s="28">
        <f t="shared" si="1"/>
        <v>-0.16232911392405064</v>
      </c>
      <c r="Q8" s="31">
        <f>VLOOKUP("POC Qbase (MVAr)", ParamsTable6[#Data], 2, FALSE)*Table2338[[#This Row],[Qpoc_pu]]</f>
        <v>-16.03</v>
      </c>
      <c r="R8" s="27">
        <f>Table2338[[#This Row],[Vpoc_pu_sig]]+(Table2338[[#This Row],[Qpoc_pu]]*VLOOKUP("Voltage droop (%)", ParamsTable6[#Data], 2, FALSE))</f>
        <v>1.0604879999999999</v>
      </c>
      <c r="S8" s="28">
        <v>1</v>
      </c>
      <c r="T8" s="33">
        <f>Table2338[[#This Row],[Ppoc_pu]]*VLOOKUP("POC Pbase (MW)", ParamsTable6[#Data], 2, FALSE)</f>
        <v>250</v>
      </c>
      <c r="U8" s="37" t="str">
        <f>"SET MODEL 'ppc' CON 161 TO "&amp;(303)&amp;" AT 0s; "&amp;
"DRIVE MODEL 'ppc' VAR 14 = AT 5s ↓ "&amp;(Table2338[[#This Row],[Qpoc_pu]]-0.25)&amp;", AT 15s ↑ "&amp;(Table2338[[#This Row],[Qpoc_pu]]+0.5)&amp;", WITH SCALING="&amp;(1000*VLOOKUP("POC Qbase (MVAr)", ParamsTable6[#All], 2, FALSE))</f>
        <v>SET MODEL 'ppc' CON 161 TO 303 AT 0s; DRIVE MODEL 'ppc' VAR 14 = AT 5s ↓ -0.412329113924051, AT 15s ↑ 0.337670886075949, WITH SCALING=98750</v>
      </c>
      <c r="V8" s="4">
        <v>30</v>
      </c>
      <c r="W8" s="4"/>
      <c r="X8" s="39" t="str">
        <f>IF(Table2338[[#This Row],[Signal2]]=0,"Qref "&amp;Table2338[[#This Row],[Signal1]]&amp;"p.u at "&amp;Table2338[[#This Row],[T1]]&amp;"s","Qref "&amp;Table2338[[#This Row],[Signal1]]&amp;"pu at "&amp;Table2338[[#This Row],[T1]]&amp;"s, "&amp;Table2338[[#This Row],[Signal2]]&amp;"pu at "&amp;Table2338[[#This Row],[T2]]&amp;"s")</f>
        <v>Qref -0.412329113924051pu at 5s, 0.337670886075949pu at 15s</v>
      </c>
      <c r="Y8" s="6"/>
      <c r="AB8">
        <f>(Table2338[[#This Row],[Qpoc_pu]]-0.25)</f>
        <v>-0.41232911392405064</v>
      </c>
      <c r="AC8">
        <f>(Table2338[[#This Row],[Qpoc_pu]]+0.5)</f>
        <v>0.33767088607594936</v>
      </c>
      <c r="AD8">
        <v>5</v>
      </c>
      <c r="AE8">
        <v>15</v>
      </c>
    </row>
    <row r="9" spans="1:31" ht="25.2" customHeight="1" thickTop="1" thickBot="1" x14ac:dyDescent="0.35">
      <c r="A9" s="4" t="s">
        <v>24</v>
      </c>
      <c r="B9" s="4" t="s">
        <v>89</v>
      </c>
      <c r="C9" s="4">
        <v>4</v>
      </c>
      <c r="D9" s="4"/>
      <c r="E9" s="4">
        <v>4</v>
      </c>
      <c r="F9" s="4"/>
      <c r="G9" s="4" t="s">
        <v>106</v>
      </c>
      <c r="H9" s="5" t="str">
        <f>Table2338[[#This Row],[Case]]&amp;"_"&amp;IF(Table2338[[#This Row],[Deliverable]]="","",Table2338[[#This Row],[Deliverable]]&amp;"_")&amp;IF(Table2338[[#This Row],[Clause]]="","",Table2338[[#This Row],[Clause]]&amp;"_")&amp;SUBSTITUTE(Table2338[[#This Row],[Category]]," ","")&amp;"_"&amp;TEXT(E9,"000")&amp;IF(F9="","","p"&amp;F9)&amp;"_P"&amp;Table2338[[#This Row],[Ppoc_pu]]&amp;"_Q"&amp;ROUND(Table2338[[#This Row],[Qpoc_pu]],2)&amp;"_V"&amp;Table2338[[#This Row],[Vpoc_pu_sig]]</f>
        <v>SummerLow_Case2_CSR_QrefSteps_004_P1_Q-0.16_V1.0669</v>
      </c>
      <c r="I9" s="5">
        <v>100</v>
      </c>
      <c r="J9" s="4" t="b">
        <v>1</v>
      </c>
      <c r="K9" s="4" t="b">
        <v>1</v>
      </c>
      <c r="L9" s="4" t="s">
        <v>103</v>
      </c>
      <c r="M9" s="4" t="s">
        <v>103</v>
      </c>
      <c r="N9" s="4" t="s">
        <v>103</v>
      </c>
      <c r="O9" s="25">
        <v>1.0669</v>
      </c>
      <c r="P9" s="28">
        <f t="shared" si="1"/>
        <v>-0.16232911392405064</v>
      </c>
      <c r="Q9" s="31">
        <f>VLOOKUP("POC Qbase (MVAr)", ParamsTable6[#Data], 2, FALSE)*Table2338[[#This Row],[Qpoc_pu]]</f>
        <v>-16.03</v>
      </c>
      <c r="R9" s="27">
        <f>Table2338[[#This Row],[Vpoc_pu_sig]]+(Table2338[[#This Row],[Qpoc_pu]]*VLOOKUP("Voltage droop (%)", ParamsTable6[#Data], 2, FALSE))</f>
        <v>1.0604879999999999</v>
      </c>
      <c r="S9" s="28">
        <v>1</v>
      </c>
      <c r="T9" s="33">
        <f>Table2338[[#This Row],[Ppoc_pu]]*VLOOKUP("POC Pbase (MW)", ParamsTable6[#Data], 2, FALSE)</f>
        <v>250</v>
      </c>
      <c r="U9" s="37" t="str">
        <f>"SET MODEL 'ppc' CON 161 TO "&amp;(303)&amp;" AT 0s; "&amp;
"DRIVE MODEL 'ppc' VAR 14 = AT 5s ↑ "&amp;(Table2338[[#This Row],[Qpoc_pu]]+0.25)&amp;", AT 15s ↓ "&amp;(Table2338[[#This Row],[Qpoc_pu]]-0.5)&amp;", WITH SCALING="&amp;(1000*VLOOKUP("POC Qbase (MVAr)", ParamsTable6[#All], 2, FALSE))</f>
        <v>SET MODEL 'ppc' CON 161 TO 303 AT 0s; DRIVE MODEL 'ppc' VAR 14 = AT 5s ↑ 0.0876708860759494, AT 15s ↓ -0.662329113924051, WITH SCALING=98750</v>
      </c>
      <c r="V9" s="4">
        <v>30</v>
      </c>
      <c r="W9" s="4"/>
      <c r="X9" s="39" t="str">
        <f>IF(Table2338[[#This Row],[Signal2]]=0,"Qref "&amp;Table2338[[#This Row],[Signal1]]&amp;"p.u at "&amp;Table2338[[#This Row],[T1]]&amp;"s","Qref "&amp;Table2338[[#This Row],[Signal1]]&amp;"pu at "&amp;Table2338[[#This Row],[T1]]&amp;"s, "&amp;Table2338[[#This Row],[Signal2]]&amp;"pu at "&amp;Table2338[[#This Row],[T2]]&amp;"s")</f>
        <v>Qref 0.0876708860759494pu at 5s, -0.662329113924051pu at 15s</v>
      </c>
      <c r="Y9" s="6"/>
      <c r="AB9">
        <f>(Table2338[[#This Row],[Qpoc_pu]]+0.25)</f>
        <v>8.7670886075949361E-2</v>
      </c>
      <c r="AC9">
        <f>(Table2338[[#This Row],[Qpoc_pu]]-0.5)</f>
        <v>-0.66232911392405058</v>
      </c>
      <c r="AD9">
        <v>5</v>
      </c>
      <c r="AE9">
        <v>15</v>
      </c>
    </row>
    <row r="10" spans="1:31" ht="25.2" customHeight="1" thickTop="1" thickBot="1" x14ac:dyDescent="0.35">
      <c r="A10" s="4" t="s">
        <v>24</v>
      </c>
      <c r="B10" s="4" t="s">
        <v>89</v>
      </c>
      <c r="C10" s="4">
        <v>1</v>
      </c>
      <c r="D10" s="4"/>
      <c r="E10" s="4">
        <v>1</v>
      </c>
      <c r="F10" s="4"/>
      <c r="G10" s="4" t="s">
        <v>104</v>
      </c>
      <c r="H10" s="5" t="str">
        <f>Table2338[[#This Row],[Case]]&amp;"_"&amp;IF(Table2338[[#This Row],[Deliverable]]="","",Table2338[[#This Row],[Deliverable]]&amp;"_")&amp;IF(Table2338[[#This Row],[Clause]]="","",Table2338[[#This Row],[Clause]]&amp;"_")&amp;SUBSTITUTE(Table2338[[#This Row],[Category]]," ","")&amp;"_"&amp;TEXT(E10,"000")&amp;IF(F10="","","p"&amp;F10)&amp;"_P"&amp;Table2338[[#This Row],[Ppoc_pu]]&amp;"_Q"&amp;ROUND(Table2338[[#This Row],[Qpoc_pu]],2)&amp;"_V"&amp;Table2338[[#This Row],[Vpoc_pu_sig]]</f>
        <v>SummerHigh_CSR_QrefSteps_001_P1_Q-0.27_V1.071</v>
      </c>
      <c r="I10" s="5">
        <v>100</v>
      </c>
      <c r="J10" s="4" t="b">
        <v>1</v>
      </c>
      <c r="K10" s="4" t="b">
        <v>1</v>
      </c>
      <c r="L10" s="4" t="s">
        <v>103</v>
      </c>
      <c r="M10" s="4" t="s">
        <v>103</v>
      </c>
      <c r="N10" s="4" t="s">
        <v>103</v>
      </c>
      <c r="O10" s="25">
        <v>1.071</v>
      </c>
      <c r="P10" s="4">
        <f>(-26.8/98.75)</f>
        <v>-0.27139240506329115</v>
      </c>
      <c r="Q10" s="31">
        <f>VLOOKUP("POC Qbase (MVAr)", ParamsTable6[#Data], 2, FALSE)*Table2338[[#This Row],[Qpoc_pu]]</f>
        <v>-26.8</v>
      </c>
      <c r="R10" s="27">
        <f>Table2338[[#This Row],[Vpoc_pu_sig]]+(Table2338[[#This Row],[Qpoc_pu]]*VLOOKUP("Voltage droop (%)", ParamsTable6[#Data], 2, FALSE))</f>
        <v>1.0602799999999999</v>
      </c>
      <c r="S10" s="28">
        <v>1</v>
      </c>
      <c r="T10" s="33">
        <f>Table2338[[#This Row],[Ppoc_pu]]*VLOOKUP("POC Pbase (MW)", ParamsTable6[#Data], 2, FALSE)</f>
        <v>250</v>
      </c>
      <c r="U10" s="38" t="str">
        <f>"SET MODEL 'ppc' CON 161 TO "&amp;(303)&amp;" AT 0s; "&amp;
"DRIVE MODEL 'ppc' VAR 14 = AT 5s ↓ "&amp;(Table2338[[#This Row],[Qpoc_pu]]-0.5)&amp;",WITH SCALING="&amp;(1000*VLOOKUP("POC Qbase (MVAr)", ParamsTable6[#All], 2, FALSE))</f>
        <v>SET MODEL 'ppc' CON 161 TO 303 AT 0s; DRIVE MODEL 'ppc' VAR 14 = AT 5s ↓ -0.771392405063291,WITH SCALING=98750</v>
      </c>
      <c r="V10" s="4">
        <v>30</v>
      </c>
      <c r="W10" s="4"/>
      <c r="X10" s="39" t="str">
        <f>IF(Table2338[[#This Row],[Signal2]]=0,"Qref "&amp;Table2338[[#This Row],[Signal1]]&amp;"p.u at "&amp;Table2338[[#This Row],[T1]]&amp;"s","Qref "&amp;Table2338[[#This Row],[Signal1]]&amp;"pu at "&amp;Table2338[[#This Row],[T1]]&amp;"s, "&amp;Table2338[[#This Row],[Signal2]]&amp;"pu at "&amp;Table2338[[#This Row],[T2]]&amp;"s")</f>
        <v>Qref -0.771392405063291p.u at 5s</v>
      </c>
      <c r="Y10" s="6"/>
      <c r="AB10">
        <f>(Table2338[[#This Row],[Qpoc_pu]]-0.5)</f>
        <v>-0.77139240506329121</v>
      </c>
      <c r="AC10">
        <v>0</v>
      </c>
      <c r="AD10">
        <v>5</v>
      </c>
      <c r="AE10">
        <v>0</v>
      </c>
    </row>
    <row r="11" spans="1:31" ht="25.2" customHeight="1" thickTop="1" thickBot="1" x14ac:dyDescent="0.35">
      <c r="A11" s="4" t="s">
        <v>24</v>
      </c>
      <c r="B11" s="4" t="s">
        <v>89</v>
      </c>
      <c r="C11" s="4">
        <v>2</v>
      </c>
      <c r="D11" s="4"/>
      <c r="E11" s="4">
        <v>2</v>
      </c>
      <c r="F11" s="4"/>
      <c r="G11" s="4" t="s">
        <v>104</v>
      </c>
      <c r="H11" s="5" t="str">
        <f>Table2338[[#This Row],[Case]]&amp;"_"&amp;IF(Table2338[[#This Row],[Deliverable]]="","",Table2338[[#This Row],[Deliverable]]&amp;"_")&amp;IF(Table2338[[#This Row],[Clause]]="","",Table2338[[#This Row],[Clause]]&amp;"_")&amp;SUBSTITUTE(Table2338[[#This Row],[Category]]," ","")&amp;"_"&amp;TEXT(E11,"000")&amp;IF(F11="","","p"&amp;F11)&amp;"_P"&amp;Table2338[[#This Row],[Ppoc_pu]]&amp;"_Q"&amp;ROUND(Table2338[[#This Row],[Qpoc_pu]],2)&amp;"_V"&amp;Table2338[[#This Row],[Vpoc_pu_sig]]</f>
        <v>SummerHigh_CSR_QrefSteps_002_P1_Q-0.27_V1.071</v>
      </c>
      <c r="I11" s="5">
        <v>100</v>
      </c>
      <c r="J11" s="4" t="b">
        <v>1</v>
      </c>
      <c r="K11" s="4" t="b">
        <v>1</v>
      </c>
      <c r="L11" s="4" t="s">
        <v>103</v>
      </c>
      <c r="M11" s="4" t="s">
        <v>103</v>
      </c>
      <c r="N11" s="4" t="s">
        <v>103</v>
      </c>
      <c r="O11" s="25">
        <v>1.071</v>
      </c>
      <c r="P11" s="4">
        <f t="shared" ref="P11:P13" si="2">(-26.8/98.75)</f>
        <v>-0.27139240506329115</v>
      </c>
      <c r="Q11" s="31">
        <f>VLOOKUP("POC Qbase (MVAr)", ParamsTable6[#Data], 2, FALSE)*Table2338[[#This Row],[Qpoc_pu]]</f>
        <v>-26.8</v>
      </c>
      <c r="R11" s="27">
        <f>Table2338[[#This Row],[Vpoc_pu_sig]]+(Table2338[[#This Row],[Qpoc_pu]]*VLOOKUP("Voltage droop (%)", ParamsTable6[#Data], 2, FALSE))</f>
        <v>1.0602799999999999</v>
      </c>
      <c r="S11" s="28">
        <v>1</v>
      </c>
      <c r="T11" s="33">
        <f>Table2338[[#This Row],[Ppoc_pu]]*VLOOKUP("POC Pbase (MW)", ParamsTable6[#Data], 2, FALSE)</f>
        <v>250</v>
      </c>
      <c r="U11" s="37" t="str">
        <f>"SET MODEL 'ppc' CON 161 TO "&amp;(303)&amp;" AT 0s; "&amp;
"DRIVE MODEL 'ppc' VAR 14 = AT 5s ↑ "&amp;(Table2338[[#This Row],[Qpoc_pu]]+0.5)&amp;",WITH SCALING="&amp;(1000*VLOOKUP("POC Qbase (MVAr)", ParamsTable6[#All], 2, FALSE))</f>
        <v>SET MODEL 'ppc' CON 161 TO 303 AT 0s; DRIVE MODEL 'ppc' VAR 14 = AT 5s ↑ 0.228607594936709,WITH SCALING=98750</v>
      </c>
      <c r="V11" s="4">
        <v>30</v>
      </c>
      <c r="W11" s="4"/>
      <c r="X11" s="39" t="str">
        <f>IF(Table2338[[#This Row],[Signal2]]=0,"Qref "&amp;Table2338[[#This Row],[Signal1]]&amp;"p.u at "&amp;Table2338[[#This Row],[T1]]&amp;"s","Qref "&amp;Table2338[[#This Row],[Signal1]]&amp;"pu at "&amp;Table2338[[#This Row],[T1]]&amp;"s, "&amp;Table2338[[#This Row],[Signal2]]&amp;"pu at "&amp;Table2338[[#This Row],[T2]]&amp;"s")</f>
        <v>Qref 0.228607594936709p.u at 5s</v>
      </c>
      <c r="Y11" s="6"/>
      <c r="AB11">
        <f>(Table2338[[#This Row],[Qpoc_pu]]+0.5)</f>
        <v>0.22860759493670885</v>
      </c>
      <c r="AC11">
        <v>0</v>
      </c>
      <c r="AD11">
        <v>5</v>
      </c>
      <c r="AE11">
        <v>0</v>
      </c>
    </row>
    <row r="12" spans="1:31" ht="25.2" customHeight="1" thickTop="1" thickBot="1" x14ac:dyDescent="0.35">
      <c r="A12" s="4" t="s">
        <v>24</v>
      </c>
      <c r="B12" s="4" t="s">
        <v>89</v>
      </c>
      <c r="C12" s="4">
        <v>3</v>
      </c>
      <c r="D12" s="4"/>
      <c r="E12" s="4">
        <v>3</v>
      </c>
      <c r="F12" s="4"/>
      <c r="G12" s="4" t="s">
        <v>104</v>
      </c>
      <c r="H12" s="5" t="str">
        <f>Table2338[[#This Row],[Case]]&amp;"_"&amp;IF(Table2338[[#This Row],[Deliverable]]="","",Table2338[[#This Row],[Deliverable]]&amp;"_")&amp;IF(Table2338[[#This Row],[Clause]]="","",Table2338[[#This Row],[Clause]]&amp;"_")&amp;SUBSTITUTE(Table2338[[#This Row],[Category]]," ","")&amp;"_"&amp;TEXT(E12,"000")&amp;IF(F12="","","p"&amp;F12)&amp;"_P"&amp;Table2338[[#This Row],[Ppoc_pu]]&amp;"_Q"&amp;ROUND(Table2338[[#This Row],[Qpoc_pu]],2)&amp;"_V"&amp;Table2338[[#This Row],[Vpoc_pu_sig]]</f>
        <v>SummerHigh_CSR_QrefSteps_003_P1_Q-0.27_V1.071</v>
      </c>
      <c r="I12" s="5">
        <v>100</v>
      </c>
      <c r="J12" s="4" t="b">
        <v>1</v>
      </c>
      <c r="K12" s="4" t="b">
        <v>1</v>
      </c>
      <c r="L12" s="4" t="s">
        <v>103</v>
      </c>
      <c r="M12" s="4" t="s">
        <v>103</v>
      </c>
      <c r="N12" s="4" t="s">
        <v>103</v>
      </c>
      <c r="O12" s="25">
        <v>1.071</v>
      </c>
      <c r="P12" s="4">
        <f t="shared" si="2"/>
        <v>-0.27139240506329115</v>
      </c>
      <c r="Q12" s="31">
        <f>VLOOKUP("POC Qbase (MVAr)", ParamsTable6[#Data], 2, FALSE)*Table2338[[#This Row],[Qpoc_pu]]</f>
        <v>-26.8</v>
      </c>
      <c r="R12" s="27">
        <f>Table2338[[#This Row],[Vpoc_pu_sig]]+(Table2338[[#This Row],[Qpoc_pu]]*VLOOKUP("Voltage droop (%)", ParamsTable6[#Data], 2, FALSE))</f>
        <v>1.0602799999999999</v>
      </c>
      <c r="S12" s="28">
        <v>1</v>
      </c>
      <c r="T12" s="33">
        <f>Table2338[[#This Row],[Ppoc_pu]]*VLOOKUP("POC Pbase (MW)", ParamsTable6[#Data], 2, FALSE)</f>
        <v>250</v>
      </c>
      <c r="U12" s="37" t="str">
        <f>"SET MODEL 'ppc' CON 161 TO "&amp;(303)&amp;" AT 0s; "&amp;
"DRIVE MODEL 'ppc' VAR 14 = AT 5s ↓ "&amp;(Table2338[[#This Row],[Qpoc_pu]]-0.25)&amp;", AT 15s ↑ "&amp;(Table2338[[#This Row],[Qpoc_pu]]+0.5)&amp;", WITH SCALING="&amp;(1000*VLOOKUP("POC Qbase (MVAr)", ParamsTable6[#All], 2, FALSE))</f>
        <v>SET MODEL 'ppc' CON 161 TO 303 AT 0s; DRIVE MODEL 'ppc' VAR 14 = AT 5s ↓ -0.521392405063291, AT 15s ↑ 0.228607594936709, WITH SCALING=98750</v>
      </c>
      <c r="V12" s="4">
        <v>30</v>
      </c>
      <c r="W12" s="4"/>
      <c r="X12" s="39" t="str">
        <f>IF(Table2338[[#This Row],[Signal2]]=0,"Qref "&amp;Table2338[[#This Row],[Signal1]]&amp;"p.u at "&amp;Table2338[[#This Row],[T1]]&amp;"s","Qref "&amp;Table2338[[#This Row],[Signal1]]&amp;"pu at "&amp;Table2338[[#This Row],[T1]]&amp;"s, "&amp;Table2338[[#This Row],[Signal2]]&amp;"pu at "&amp;Table2338[[#This Row],[T2]]&amp;"s")</f>
        <v>Qref -0.521392405063291pu at 5s, 0.228607594936709pu at 15s</v>
      </c>
      <c r="Y12" s="6"/>
      <c r="AB12">
        <f>(Table2338[[#This Row],[Qpoc_pu]]-0.25)</f>
        <v>-0.52139240506329121</v>
      </c>
      <c r="AC12">
        <f>(Table2338[[#This Row],[Qpoc_pu]]+0.5)</f>
        <v>0.22860759493670885</v>
      </c>
      <c r="AD12">
        <v>5</v>
      </c>
      <c r="AE12">
        <v>15</v>
      </c>
    </row>
    <row r="13" spans="1:31" ht="25.2" customHeight="1" thickTop="1" thickBot="1" x14ac:dyDescent="0.35">
      <c r="A13" s="4" t="s">
        <v>24</v>
      </c>
      <c r="B13" s="4" t="s">
        <v>89</v>
      </c>
      <c r="C13" s="4">
        <v>4</v>
      </c>
      <c r="D13" s="4"/>
      <c r="E13" s="4">
        <v>4</v>
      </c>
      <c r="F13" s="4"/>
      <c r="G13" s="4" t="s">
        <v>104</v>
      </c>
      <c r="H13" s="5" t="str">
        <f>Table2338[[#This Row],[Case]]&amp;"_"&amp;IF(Table2338[[#This Row],[Deliverable]]="","",Table2338[[#This Row],[Deliverable]]&amp;"_")&amp;IF(Table2338[[#This Row],[Clause]]="","",Table2338[[#This Row],[Clause]]&amp;"_")&amp;SUBSTITUTE(Table2338[[#This Row],[Category]]," ","")&amp;"_"&amp;TEXT(E13,"000")&amp;IF(F13="","","p"&amp;F13)&amp;"_P"&amp;Table2338[[#This Row],[Ppoc_pu]]&amp;"_Q"&amp;ROUND(Table2338[[#This Row],[Qpoc_pu]],2)&amp;"_V"&amp;Table2338[[#This Row],[Vpoc_pu_sig]]</f>
        <v>SummerHigh_CSR_QrefSteps_004_P1_Q-0.27_V1.071</v>
      </c>
      <c r="I13" s="5">
        <v>100</v>
      </c>
      <c r="J13" s="4" t="b">
        <v>1</v>
      </c>
      <c r="K13" s="4" t="b">
        <v>1</v>
      </c>
      <c r="L13" s="4" t="s">
        <v>103</v>
      </c>
      <c r="M13" s="4" t="s">
        <v>103</v>
      </c>
      <c r="N13" s="4" t="s">
        <v>103</v>
      </c>
      <c r="O13" s="25">
        <v>1.071</v>
      </c>
      <c r="P13" s="4">
        <f t="shared" si="2"/>
        <v>-0.27139240506329115</v>
      </c>
      <c r="Q13" s="31">
        <f>VLOOKUP("POC Qbase (MVAr)", ParamsTable6[#Data], 2, FALSE)*Table2338[[#This Row],[Qpoc_pu]]</f>
        <v>-26.8</v>
      </c>
      <c r="R13" s="27">
        <f>Table2338[[#This Row],[Vpoc_pu_sig]]+(Table2338[[#This Row],[Qpoc_pu]]*VLOOKUP("Voltage droop (%)", ParamsTable6[#Data], 2, FALSE))</f>
        <v>1.0602799999999999</v>
      </c>
      <c r="S13" s="28">
        <v>1</v>
      </c>
      <c r="T13" s="33">
        <f>Table2338[[#This Row],[Ppoc_pu]]*VLOOKUP("POC Pbase (MW)", ParamsTable6[#Data], 2, FALSE)</f>
        <v>250</v>
      </c>
      <c r="U13" s="37" t="str">
        <f>"SET MODEL 'ppc' CON 161 TO "&amp;(303)&amp;" AT 0s; "&amp;
"DRIVE MODEL 'ppc' VAR 14 = AT 5s ↑ "&amp;(Table2338[[#This Row],[Qpoc_pu]]+0.25)&amp;", AT 15s ↓ "&amp;(Table2338[[#This Row],[Qpoc_pu]]-0.5)&amp;", WITH SCALING="&amp;(1000*VLOOKUP("POC Qbase (MVAr)", ParamsTable6[#All], 2, FALSE))</f>
        <v>SET MODEL 'ppc' CON 161 TO 303 AT 0s; DRIVE MODEL 'ppc' VAR 14 = AT 5s ↑ -0.0213924050632912, AT 15s ↓ -0.771392405063291, WITH SCALING=98750</v>
      </c>
      <c r="V13" s="4">
        <v>30</v>
      </c>
      <c r="W13" s="4"/>
      <c r="X13" s="39" t="str">
        <f>IF(Table2338[[#This Row],[Signal2]]=0,"Qref "&amp;Table2338[[#This Row],[Signal1]]&amp;"p.u at "&amp;Table2338[[#This Row],[T1]]&amp;"s","Qref "&amp;Table2338[[#This Row],[Signal1]]&amp;"pu at "&amp;Table2338[[#This Row],[T1]]&amp;"s, "&amp;Table2338[[#This Row],[Signal2]]&amp;"pu at "&amp;Table2338[[#This Row],[T2]]&amp;"s")</f>
        <v>Qref -0.0213924050632912pu at 5s, -0.771392405063291pu at 15s</v>
      </c>
      <c r="Y13" s="6"/>
      <c r="AB13">
        <f>(Table2338[[#This Row],[Qpoc_pu]]+0.25)</f>
        <v>-2.1392405063291153E-2</v>
      </c>
      <c r="AC13">
        <f>(Table2338[[#This Row],[Qpoc_pu]]-0.5)</f>
        <v>-0.77139240506329121</v>
      </c>
      <c r="AD13">
        <v>5</v>
      </c>
      <c r="AE13">
        <v>15</v>
      </c>
    </row>
    <row r="14" spans="1:31" ht="25.2" customHeight="1" thickTop="1" x14ac:dyDescent="0.3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F0CD-85B7-4ECE-809A-2599267418A9}">
  <sheetPr>
    <tabColor rgb="FF92D050"/>
  </sheetPr>
  <dimension ref="A1:AD14"/>
  <sheetViews>
    <sheetView workbookViewId="0">
      <selection activeCell="H19" sqref="H19"/>
    </sheetView>
  </sheetViews>
  <sheetFormatPr defaultRowHeight="14.4" x14ac:dyDescent="0.3"/>
  <cols>
    <col min="1" max="1" width="15.109375" customWidth="1"/>
    <col min="2" max="3" width="13" customWidth="1"/>
    <col min="4" max="4" width="10.5546875" customWidth="1"/>
    <col min="5" max="5" width="9.44140625" customWidth="1"/>
    <col min="6" max="6" width="12.33203125" customWidth="1"/>
    <col min="7" max="7" width="17.88671875" bestFit="1" customWidth="1"/>
    <col min="8" max="8" width="62.109375" bestFit="1" customWidth="1"/>
    <col min="9" max="9" width="22.6640625" customWidth="1"/>
    <col min="10" max="11" width="10.5546875" customWidth="1"/>
    <col min="12" max="12" width="24.5546875" customWidth="1"/>
    <col min="13" max="13" width="18.109375" customWidth="1"/>
    <col min="14" max="14" width="24.6640625" customWidth="1"/>
    <col min="15" max="15" width="21" customWidth="1"/>
    <col min="16" max="16" width="16.109375" customWidth="1"/>
    <col min="17" max="17" width="19.33203125" style="40" bestFit="1" customWidth="1"/>
    <col min="18" max="18" width="12.88671875" bestFit="1" customWidth="1"/>
    <col min="19" max="19" width="16.109375" bestFit="1" customWidth="1"/>
    <col min="20" max="20" width="17.6640625" style="40" bestFit="1" customWidth="1"/>
    <col min="21" max="23" width="23.33203125" customWidth="1"/>
    <col min="24" max="24" width="100.109375" customWidth="1"/>
    <col min="25" max="25" width="23.5546875" bestFit="1" customWidth="1"/>
    <col min="26" max="26" width="23.5546875" customWidth="1"/>
    <col min="27" max="27" width="29.6640625" bestFit="1" customWidth="1"/>
    <col min="28" max="28" width="18.88671875" bestFit="1" customWidth="1"/>
    <col min="29" max="29" width="27.6640625" bestFit="1" customWidth="1"/>
    <col min="30" max="30" width="10.109375" bestFit="1" customWidth="1"/>
  </cols>
  <sheetData>
    <row r="1" spans="1:30" ht="15" thickBot="1" x14ac:dyDescent="0.35">
      <c r="A1" s="2" t="s">
        <v>0</v>
      </c>
      <c r="B1" s="2" t="s">
        <v>1</v>
      </c>
      <c r="C1" s="2" t="s">
        <v>57</v>
      </c>
      <c r="D1" s="2" t="s">
        <v>58</v>
      </c>
      <c r="E1" s="2" t="s">
        <v>4</v>
      </c>
      <c r="F1" s="2" t="s">
        <v>5</v>
      </c>
      <c r="G1" s="2" t="s">
        <v>107</v>
      </c>
      <c r="H1" s="2" t="s">
        <v>6</v>
      </c>
      <c r="I1" s="5" t="s">
        <v>44</v>
      </c>
      <c r="J1" s="2" t="s">
        <v>2</v>
      </c>
      <c r="K1" s="2" t="s">
        <v>3</v>
      </c>
      <c r="L1" s="34" t="s">
        <v>60</v>
      </c>
      <c r="M1" s="34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78</v>
      </c>
      <c r="S1" s="2" t="s">
        <v>67</v>
      </c>
      <c r="T1" s="2" t="s">
        <v>68</v>
      </c>
      <c r="U1" s="30" t="s">
        <v>90</v>
      </c>
      <c r="V1" s="30" t="s">
        <v>91</v>
      </c>
      <c r="W1" s="30" t="s">
        <v>92</v>
      </c>
      <c r="X1" s="24" t="s">
        <v>23</v>
      </c>
      <c r="Y1" s="24" t="s">
        <v>7</v>
      </c>
      <c r="Z1" s="24" t="s">
        <v>22</v>
      </c>
      <c r="AA1" s="24" t="s">
        <v>79</v>
      </c>
      <c r="AB1" s="24" t="s">
        <v>8</v>
      </c>
      <c r="AC1" s="24" t="s">
        <v>76</v>
      </c>
      <c r="AD1" s="24" t="s">
        <v>69</v>
      </c>
    </row>
    <row r="2" spans="1:30" ht="16.5" customHeight="1" thickBot="1" x14ac:dyDescent="0.35">
      <c r="A2" s="4" t="s">
        <v>24</v>
      </c>
      <c r="B2" s="4" t="s">
        <v>93</v>
      </c>
      <c r="C2" s="4">
        <v>1</v>
      </c>
      <c r="D2" s="4"/>
      <c r="E2" s="4">
        <v>1</v>
      </c>
      <c r="F2" s="4"/>
      <c r="G2" s="4" t="s">
        <v>105</v>
      </c>
      <c r="H2" s="5" t="str">
        <f>Table2331310[[#This Row],[Case]]&amp;"_"&amp;IF(Table2331310[[#This Row],[Deliverable]]="","",Table2331310[[#This Row],[Deliverable]]&amp;"_")&amp;IF(Table2331310[[#This Row],[Clause]]="","",Table2331310[[#This Row],[Clause]]&amp;"_")&amp;SUBSTITUTE(Table2331310[[#This Row],[Category]]," ","")&amp;"_"&amp;TEXT(E2,"000")&amp;IF(F2="","","p"&amp;F2)&amp;"_P"&amp;Table2331310[[#This Row],[Ppoc_pu]]&amp;"_Q"&amp;ROUND(Table2331310[[#This Row],[Qpoc_pu]],2)&amp;"_V"&amp;Table2331310[[#This Row],[Vpoc_pu_sig]]</f>
        <v>SummerLow_Case1_CSR_PFrefSteps_001_P1_Q-0.43_V1.077</v>
      </c>
      <c r="I2" s="5">
        <v>100</v>
      </c>
      <c r="J2" s="4" t="b">
        <v>1</v>
      </c>
      <c r="K2" s="4" t="b">
        <v>1</v>
      </c>
      <c r="L2" s="4" t="s">
        <v>103</v>
      </c>
      <c r="M2" s="7" t="s">
        <v>103</v>
      </c>
      <c r="N2" s="4" t="s">
        <v>103</v>
      </c>
      <c r="O2" s="25">
        <v>1.077</v>
      </c>
      <c r="P2" s="4">
        <f>(-42.083/98.75)</f>
        <v>-0.42615696202531644</v>
      </c>
      <c r="Q2" s="31">
        <f>VLOOKUP("POC Qbase (MVAr)", ParamsTable6[#Data], 2, FALSE)*Table2331310[[#This Row],[Qpoc_pu]]</f>
        <v>-42.082999999999998</v>
      </c>
      <c r="R2" s="27">
        <f>Table2331310[[#This Row],[Vpoc_pu_sig]]+(Table2331310[[#This Row],[Qpoc_pu]]*VLOOKUP("Voltage droop (%)", ParamsTable6[#Data], 2, FALSE))</f>
        <v>1.0601668</v>
      </c>
      <c r="S2" s="28">
        <v>1</v>
      </c>
      <c r="T2" s="31">
        <f>Table2331310[[#This Row],[Ppoc_pu]]*VLOOKUP("POC Pbase (MW)", ParamsTable6[#Data], 2, FALSE)</f>
        <v>250</v>
      </c>
      <c r="U2" s="7">
        <f>COS(ATAN((0.5*VLOOKUP("POC Qbase (MVAr)",ParamsTable6[#Data], 2, FALSE))/(Table2331310[[#This Row],[Ppoc_MW_sig]])))</f>
        <v>0.98104949825860344</v>
      </c>
      <c r="V2" s="7">
        <f>COS(ATAN((0.75*VLOOKUP("POC Qbase (MVAr)", ParamsTable6[#Data], 2, FALSE))/(Table2331310[[#This Row],[Ppoc_MW_sig]])))</f>
        <v>0.95881020276312001</v>
      </c>
      <c r="W2" s="7">
        <f>COS(ATAN((1.25*VLOOKUP("POC Qbase (MVAr)", ParamsTable6[#Data], 2, FALSE))/(Table2331310[[#This Row],[Ppoc_MW_sig]])))</f>
        <v>0.89665759875662454</v>
      </c>
      <c r="X2" s="38" t="str">
        <f>"SET MODEL 'ppc' CON 161 TO "&amp;(1074)&amp;" AT 0s; "&amp;
"DRIVE MODEL 'ppc' VAR 15 = AT 5s ↑ 1.0, WITH SCALING="&amp;(Table2331310[[#This Row],[0.5Q_PF_target]])</f>
        <v>SET MODEL 'ppc' CON 161 TO 1074 AT 0s; DRIVE MODEL 'ppc' VAR 15 = AT 5s ↑ 1.0, WITH SCALING=0.981049498258603</v>
      </c>
      <c r="Y2" s="4">
        <v>30</v>
      </c>
      <c r="Z2" s="4">
        <v>1.0055716024400001</v>
      </c>
      <c r="AA2" s="6" t="s">
        <v>94</v>
      </c>
      <c r="AB2" s="6"/>
    </row>
    <row r="3" spans="1:30" ht="16.5" customHeight="1" thickTop="1" thickBot="1" x14ac:dyDescent="0.35">
      <c r="A3" s="4" t="s">
        <v>24</v>
      </c>
      <c r="B3" s="4" t="s">
        <v>93</v>
      </c>
      <c r="C3" s="4">
        <v>2</v>
      </c>
      <c r="D3" s="4"/>
      <c r="E3" s="4">
        <v>2</v>
      </c>
      <c r="F3" s="4"/>
      <c r="G3" s="4" t="s">
        <v>105</v>
      </c>
      <c r="H3" s="5" t="str">
        <f>Table2331310[[#This Row],[Case]]&amp;"_"&amp;IF(Table2331310[[#This Row],[Deliverable]]="","",Table2331310[[#This Row],[Deliverable]]&amp;"_")&amp;IF(Table2331310[[#This Row],[Clause]]="","",Table2331310[[#This Row],[Clause]]&amp;"_")&amp;SUBSTITUTE(Table2331310[[#This Row],[Category]]," ","")&amp;"_"&amp;TEXT(E3,"000")&amp;IF(F3="","","p"&amp;F3)&amp;"_P"&amp;Table2331310[[#This Row],[Ppoc_pu]]&amp;"_Q"&amp;ROUND(Table2331310[[#This Row],[Qpoc_pu]],2)&amp;"_V"&amp;Table2331310[[#This Row],[Vpoc_pu_sig]]</f>
        <v>SummerLow_Case1_CSR_PFrefSteps_002_P1_Q-0.43_V1.077</v>
      </c>
      <c r="I3" s="5">
        <v>100</v>
      </c>
      <c r="J3" s="4" t="b">
        <v>1</v>
      </c>
      <c r="K3" s="4" t="b">
        <v>1</v>
      </c>
      <c r="L3" s="4" t="s">
        <v>103</v>
      </c>
      <c r="M3" s="7" t="s">
        <v>103</v>
      </c>
      <c r="N3" s="4" t="s">
        <v>103</v>
      </c>
      <c r="O3" s="25">
        <v>1.077</v>
      </c>
      <c r="P3" s="4">
        <f t="shared" ref="P3:P5" si="0">(-42.083/98.75)</f>
        <v>-0.42615696202531644</v>
      </c>
      <c r="Q3" s="31">
        <f>VLOOKUP("POC Qbase (MVAr)", ParamsTable6[#Data], 2, FALSE)*Table2331310[[#This Row],[Qpoc_pu]]</f>
        <v>-42.082999999999998</v>
      </c>
      <c r="R3" s="27">
        <f>Table2331310[[#This Row],[Vpoc_pu_sig]]+(Table2331310[[#This Row],[Qpoc_pu]]*VLOOKUP("Voltage droop (%)", ParamsTable6[#Data], 2, FALSE))</f>
        <v>1.0601668</v>
      </c>
      <c r="S3" s="28">
        <v>1</v>
      </c>
      <c r="T3" s="31">
        <f>Table2331310[[#This Row],[Ppoc_pu]]*VLOOKUP("POC Pbase (MW)", ParamsTable6[#Data], 2, FALSE)</f>
        <v>250</v>
      </c>
      <c r="U3" s="7">
        <f>COS(ATAN((0.5*VLOOKUP("POC Qbase (MVAr)",ParamsTable6[#Data], 2, FALSE))/(Table2331310[[#This Row],[Ppoc_MW_sig]])))</f>
        <v>0.98104949825860344</v>
      </c>
      <c r="V3" s="7">
        <f>COS(ATAN((0.75*VLOOKUP("POC Qbase (MVAr)", ParamsTable6[#Data], 2, FALSE))/(Table2331310[[#This Row],[Ppoc_MW_sig]])))</f>
        <v>0.95881020276312001</v>
      </c>
      <c r="W3" s="7">
        <f>COS(ATAN((1.25*VLOOKUP("POC Qbase (MVAr)", ParamsTable6[#Data], 2, FALSE))/(Table2331310[[#This Row],[Ppoc_MW_sig]])))</f>
        <v>0.89665759875662454</v>
      </c>
      <c r="X3" s="37" t="str">
        <f>"SET MODEL 'ppc' CON 161 TO "&amp;(1074)&amp;" AT 0s; "&amp;
"DRIVE MODEL 'ppc' VAR 15 = AT 5s ↑ -1.0, WITH SCALING="&amp;(Table2331310[[#This Row],[0.5Q_PF_target]])</f>
        <v>SET MODEL 'ppc' CON 161 TO 1074 AT 0s; DRIVE MODEL 'ppc' VAR 15 = AT 5s ↑ -1.0, WITH SCALING=0.981049498258603</v>
      </c>
      <c r="Y3" s="4">
        <v>30</v>
      </c>
      <c r="Z3" s="4">
        <v>1.048872823</v>
      </c>
      <c r="AA3" s="6" t="s">
        <v>95</v>
      </c>
      <c r="AB3" s="6"/>
    </row>
    <row r="4" spans="1:30" ht="16.5" customHeight="1" thickTop="1" thickBot="1" x14ac:dyDescent="0.35">
      <c r="A4" s="4" t="s">
        <v>24</v>
      </c>
      <c r="B4" s="4" t="s">
        <v>93</v>
      </c>
      <c r="C4" s="4">
        <v>3</v>
      </c>
      <c r="D4" s="4"/>
      <c r="E4" s="4">
        <v>3</v>
      </c>
      <c r="F4" s="4"/>
      <c r="G4" s="4" t="s">
        <v>105</v>
      </c>
      <c r="H4" s="5" t="str">
        <f>Table2331310[[#This Row],[Case]]&amp;"_"&amp;IF(Table2331310[[#This Row],[Deliverable]]="","",Table2331310[[#This Row],[Deliverable]]&amp;"_")&amp;IF(Table2331310[[#This Row],[Clause]]="","",Table2331310[[#This Row],[Clause]]&amp;"_")&amp;SUBSTITUTE(Table2331310[[#This Row],[Category]]," ","")&amp;"_"&amp;TEXT(E4,"000")&amp;IF(F4="","","p"&amp;F4)&amp;"_P"&amp;Table2331310[[#This Row],[Ppoc_pu]]&amp;"_Q"&amp;ROUND(Table2331310[[#This Row],[Qpoc_pu]],2)&amp;"_V"&amp;Table2331310[[#This Row],[Vpoc_pu_sig]]</f>
        <v>SummerLow_Case1_CSR_PFrefSteps_003_P1_Q-0.43_V1.077</v>
      </c>
      <c r="I4" s="5">
        <v>100</v>
      </c>
      <c r="J4" s="4" t="b">
        <v>1</v>
      </c>
      <c r="K4" s="4" t="b">
        <v>1</v>
      </c>
      <c r="L4" s="4" t="s">
        <v>103</v>
      </c>
      <c r="M4" s="7" t="s">
        <v>103</v>
      </c>
      <c r="N4" s="4" t="s">
        <v>103</v>
      </c>
      <c r="O4" s="25">
        <v>1.077</v>
      </c>
      <c r="P4" s="4">
        <f t="shared" si="0"/>
        <v>-0.42615696202531644</v>
      </c>
      <c r="Q4" s="31">
        <f>VLOOKUP("POC Qbase (MVAr)", ParamsTable6[#Data], 2, FALSE)*Table2331310[[#This Row],[Qpoc_pu]]</f>
        <v>-42.082999999999998</v>
      </c>
      <c r="R4" s="27">
        <f>Table2331310[[#This Row],[Vpoc_pu_sig]]+(Table2331310[[#This Row],[Qpoc_pu]]*VLOOKUP("Voltage droop (%)", ParamsTable6[#Data], 2, FALSE))</f>
        <v>1.0601668</v>
      </c>
      <c r="S4" s="28">
        <v>1</v>
      </c>
      <c r="T4" s="31">
        <f>Table2331310[[#This Row],[Ppoc_pu]]*VLOOKUP("POC Pbase (MW)", ParamsTable6[#Data], 2, FALSE)</f>
        <v>250</v>
      </c>
      <c r="U4" s="7">
        <f>COS(ATAN((0.5*VLOOKUP("POC Qbase (MVAr)",ParamsTable6[#Data], 2, FALSE))/(Table2331310[[#This Row],[Ppoc_MW_sig]])))</f>
        <v>0.98104949825860344</v>
      </c>
      <c r="V4" s="7">
        <f>COS(ATAN((0.75*VLOOKUP("POC Qbase (MVAr)", ParamsTable6[#Data], 2, FALSE))/(Table2331310[[#This Row],[Ppoc_MW_sig]])))</f>
        <v>0.95881020276312001</v>
      </c>
      <c r="W4" s="7">
        <f>COS(ATAN((1.25*VLOOKUP("POC Qbase (MVAr)", ParamsTable6[#Data], 2, FALSE))/(Table2331310[[#This Row],[Ppoc_MW_sig]])))</f>
        <v>0.89665759875662454</v>
      </c>
      <c r="X4" s="37" t="str">
        <f>"SET MODEL 'ppc' CON 161 TO "&amp;(1074)&amp;" AT 0s; "&amp;
"DRIVE MODEL 'ppc' VAR 15 = AT 5s ↑ 1.0, AT 15s ↑ "&amp;(Table2331310[[#This Row],[1.25Q_PF_target]]/Table2331310[[#This Row],[0.25Q_PF_target]])&amp;", WITH SCALING="&amp;(Table2331310[[#This Row],[0.25Q_PF_target]])</f>
        <v>SET MODEL 'ppc' CON 161 TO 1074 AT 0s; DRIVE MODEL 'ppc' VAR 15 = AT 5s ↑ 1.0, AT 15s ↑ 0.935177364792967, WITH SCALING=0.95881020276312</v>
      </c>
      <c r="Y4" s="4">
        <v>30</v>
      </c>
      <c r="Z4" s="4">
        <v>1.0055716024400001</v>
      </c>
      <c r="AA4" s="6" t="s">
        <v>96</v>
      </c>
      <c r="AB4" s="6"/>
    </row>
    <row r="5" spans="1:30" ht="16.5" customHeight="1" thickTop="1" thickBot="1" x14ac:dyDescent="0.35">
      <c r="A5" s="4" t="s">
        <v>24</v>
      </c>
      <c r="B5" s="4" t="s">
        <v>93</v>
      </c>
      <c r="C5" s="4">
        <v>4</v>
      </c>
      <c r="D5" s="4"/>
      <c r="E5" s="4">
        <v>4</v>
      </c>
      <c r="F5" s="4"/>
      <c r="G5" s="4" t="s">
        <v>105</v>
      </c>
      <c r="H5" s="5" t="str">
        <f>Table2331310[[#This Row],[Case]]&amp;"_"&amp;IF(Table2331310[[#This Row],[Deliverable]]="","",Table2331310[[#This Row],[Deliverable]]&amp;"_")&amp;IF(Table2331310[[#This Row],[Clause]]="","",Table2331310[[#This Row],[Clause]]&amp;"_")&amp;SUBSTITUTE(Table2331310[[#This Row],[Category]]," ","")&amp;"_"&amp;TEXT(E5,"000")&amp;IF(F5="","","p"&amp;F5)&amp;"_P"&amp;Table2331310[[#This Row],[Ppoc_pu]]&amp;"_Q"&amp;ROUND(Table2331310[[#This Row],[Qpoc_pu]],2)&amp;"_V"&amp;Table2331310[[#This Row],[Vpoc_pu_sig]]</f>
        <v>SummerLow_Case1_CSR_PFrefSteps_004_P1_Q-0.43_V1.077</v>
      </c>
      <c r="I5" s="5">
        <v>100</v>
      </c>
      <c r="J5" s="4" t="b">
        <v>1</v>
      </c>
      <c r="K5" s="4" t="b">
        <v>1</v>
      </c>
      <c r="L5" s="4" t="s">
        <v>103</v>
      </c>
      <c r="M5" s="7" t="s">
        <v>103</v>
      </c>
      <c r="N5" s="4" t="s">
        <v>103</v>
      </c>
      <c r="O5" s="25">
        <v>1.077</v>
      </c>
      <c r="P5" s="4">
        <f t="shared" si="0"/>
        <v>-0.42615696202531644</v>
      </c>
      <c r="Q5" s="31">
        <f>VLOOKUP("POC Qbase (MVAr)", ParamsTable6[#Data], 2, FALSE)*Table2331310[[#This Row],[Qpoc_pu]]</f>
        <v>-42.082999999999998</v>
      </c>
      <c r="R5" s="27">
        <f>Table2331310[[#This Row],[Vpoc_pu_sig]]+(Table2331310[[#This Row],[Qpoc_pu]]*VLOOKUP("Voltage droop (%)", ParamsTable6[#Data], 2, FALSE))</f>
        <v>1.0601668</v>
      </c>
      <c r="S5" s="28">
        <v>1</v>
      </c>
      <c r="T5" s="31">
        <f>Table2331310[[#This Row],[Ppoc_pu]]*VLOOKUP("POC Pbase (MW)", ParamsTable6[#Data], 2, FALSE)</f>
        <v>250</v>
      </c>
      <c r="U5" s="7">
        <f>COS(ATAN((0.5*VLOOKUP("POC Qbase (MVAr)",ParamsTable6[#Data], 2, FALSE))/(Table2331310[[#This Row],[Ppoc_MW_sig]])))</f>
        <v>0.98104949825860344</v>
      </c>
      <c r="V5" s="7">
        <f>COS(ATAN((0.75*VLOOKUP("POC Qbase (MVAr)", ParamsTable6[#Data], 2, FALSE))/(Table2331310[[#This Row],[Ppoc_MW_sig]])))</f>
        <v>0.95881020276312001</v>
      </c>
      <c r="W5" s="7">
        <f>COS(ATAN((1.25*VLOOKUP("POC Qbase (MVAr)", ParamsTable6[#Data], 2, FALSE))/(Table2331310[[#This Row],[Ppoc_MW_sig]])))</f>
        <v>0.89665759875662454</v>
      </c>
      <c r="X5" s="37" t="str">
        <f>"SET MODEL 'ppc' CON 161 TO "&amp;(1074)&amp;" AT 0s; "&amp;
"DRIVE MODEL 'ppc' VAR 15 = AT 5s ↑ -1.0, AT 15s ↑ "&amp;(-1*Table2331310[[#This Row],[1.25Q_PF_target]]/Table2331310[[#This Row],[0.25Q_PF_target]])&amp;", WITH SCALING="&amp;(Table2331310[[#This Row],[0.25Q_PF_target]])</f>
        <v>SET MODEL 'ppc' CON 161 TO 1074 AT 0s; DRIVE MODEL 'ppc' VAR 15 = AT 5s ↑ -1.0, AT 15s ↑ -0.935177364792967, WITH SCALING=0.95881020276312</v>
      </c>
      <c r="Y5" s="4">
        <v>30</v>
      </c>
      <c r="Z5" s="4">
        <v>1.0922890000000001</v>
      </c>
      <c r="AA5" s="6" t="s">
        <v>97</v>
      </c>
      <c r="AB5" s="6"/>
    </row>
    <row r="6" spans="1:30" ht="30" thickTop="1" thickBot="1" x14ac:dyDescent="0.35">
      <c r="A6" s="4" t="s">
        <v>24</v>
      </c>
      <c r="B6" s="4" t="s">
        <v>93</v>
      </c>
      <c r="C6" s="4">
        <v>1</v>
      </c>
      <c r="D6" s="4"/>
      <c r="E6" s="4">
        <v>1</v>
      </c>
      <c r="F6" s="4"/>
      <c r="G6" s="4" t="s">
        <v>106</v>
      </c>
      <c r="H6" s="5" t="str">
        <f>Table2331310[[#This Row],[Case]]&amp;"_"&amp;IF(Table2331310[[#This Row],[Deliverable]]="","",Table2331310[[#This Row],[Deliverable]]&amp;"_")&amp;IF(Table2331310[[#This Row],[Clause]]="","",Table2331310[[#This Row],[Clause]]&amp;"_")&amp;SUBSTITUTE(Table2331310[[#This Row],[Category]]," ","")&amp;"_"&amp;TEXT(E6,"000")&amp;IF(F6="","","p"&amp;F6)&amp;"_P"&amp;Table2331310[[#This Row],[Ppoc_pu]]&amp;"_Q"&amp;ROUND(Table2331310[[#This Row],[Qpoc_pu]],2)&amp;"_V"&amp;Table2331310[[#This Row],[Vpoc_pu_sig]]</f>
        <v>SummerLow_Case2_CSR_PFrefSteps_001_P1_Q-0.16_V1.0669</v>
      </c>
      <c r="I6" s="5">
        <v>100</v>
      </c>
      <c r="J6" s="4" t="b">
        <v>1</v>
      </c>
      <c r="K6" s="4" t="b">
        <v>1</v>
      </c>
      <c r="L6" s="4" t="s">
        <v>103</v>
      </c>
      <c r="M6" s="7" t="s">
        <v>103</v>
      </c>
      <c r="N6" s="4" t="s">
        <v>103</v>
      </c>
      <c r="O6" s="25">
        <v>1.0669</v>
      </c>
      <c r="P6" s="28">
        <f t="shared" ref="P6:P9" si="1">(-16.03/98.75)</f>
        <v>-0.16232911392405064</v>
      </c>
      <c r="Q6" s="33">
        <f>VLOOKUP("POC Qbase (MVAr)", ParamsTable6[#Data], 2, FALSE)*Table2331310[[#This Row],[Qpoc_pu]]</f>
        <v>-16.03</v>
      </c>
      <c r="R6" s="27">
        <f>Table2331310[[#This Row],[Vpoc_pu_sig]]+(Table2331310[[#This Row],[Qpoc_pu]]*VLOOKUP("Voltage droop (%)", ParamsTable6[#Data], 2, FALSE))</f>
        <v>1.0604879999999999</v>
      </c>
      <c r="S6" s="28">
        <v>1</v>
      </c>
      <c r="T6" s="33">
        <f>Table2331310[[#This Row],[Ppoc_pu]]*VLOOKUP("POC Pbase (MW)", ParamsTable6[#Data], 2, FALSE)</f>
        <v>250</v>
      </c>
      <c r="U6" s="27">
        <f>COS(ATAN((0.5*VLOOKUP("POC Qbase (MVAr)",ParamsTable6[#Data], 2, FALSE))/(Table2331310[[#This Row],[Ppoc_MW_sig]])))</f>
        <v>0.98104949825860344</v>
      </c>
      <c r="V6" s="27">
        <f>COS(ATAN((0.75*VLOOKUP("POC Qbase (MVAr)", ParamsTable6[#Data], 2, FALSE))/(Table2331310[[#This Row],[Ppoc_MW_sig]])))</f>
        <v>0.95881020276312001</v>
      </c>
      <c r="W6" s="27">
        <f>COS(ATAN((1.25*VLOOKUP("POC Qbase (MVAr)", ParamsTable6[#Data], 2, FALSE))/(Table2331310[[#This Row],[Ppoc_MW_sig]])))</f>
        <v>0.89665759875662454</v>
      </c>
      <c r="X6" s="38" t="str">
        <f>"SET MODEL 'ppc' CON 161 TO "&amp;(1074)&amp;" AT 0s; "&amp;
"DRIVE MODEL 'ppc' VAR 15 = AT 5s ↑ 1.0, WITH SCALING="&amp;(Table2331310[[#This Row],[0.5Q_PF_target]])</f>
        <v>SET MODEL 'ppc' CON 161 TO 1074 AT 0s; DRIVE MODEL 'ppc' VAR 15 = AT 5s ↑ 1.0, WITH SCALING=0.981049498258603</v>
      </c>
      <c r="Y6" s="4">
        <v>30</v>
      </c>
      <c r="Z6" s="4"/>
      <c r="AA6" s="6" t="s">
        <v>94</v>
      </c>
      <c r="AB6" s="6"/>
    </row>
    <row r="7" spans="1:30" ht="30" thickTop="1" thickBot="1" x14ac:dyDescent="0.35">
      <c r="A7" s="4" t="s">
        <v>24</v>
      </c>
      <c r="B7" s="4" t="s">
        <v>93</v>
      </c>
      <c r="C7" s="4">
        <v>2</v>
      </c>
      <c r="D7" s="4"/>
      <c r="E7" s="4">
        <v>2</v>
      </c>
      <c r="F7" s="4"/>
      <c r="G7" s="4" t="s">
        <v>106</v>
      </c>
      <c r="H7" s="5" t="str">
        <f>Table2331310[[#This Row],[Case]]&amp;"_"&amp;IF(Table2331310[[#This Row],[Deliverable]]="","",Table2331310[[#This Row],[Deliverable]]&amp;"_")&amp;IF(Table2331310[[#This Row],[Clause]]="","",Table2331310[[#This Row],[Clause]]&amp;"_")&amp;SUBSTITUTE(Table2331310[[#This Row],[Category]]," ","")&amp;"_"&amp;TEXT(E7,"000")&amp;IF(F7="","","p"&amp;F7)&amp;"_P"&amp;Table2331310[[#This Row],[Ppoc_pu]]&amp;"_Q"&amp;ROUND(Table2331310[[#This Row],[Qpoc_pu]],2)&amp;"_V"&amp;Table2331310[[#This Row],[Vpoc_pu_sig]]</f>
        <v>SummerLow_Case2_CSR_PFrefSteps_002_P1_Q-0.16_V1.0669</v>
      </c>
      <c r="I7" s="5">
        <v>100</v>
      </c>
      <c r="J7" s="4" t="b">
        <v>1</v>
      </c>
      <c r="K7" s="4" t="b">
        <v>1</v>
      </c>
      <c r="L7" s="4" t="s">
        <v>103</v>
      </c>
      <c r="M7" s="7" t="s">
        <v>103</v>
      </c>
      <c r="N7" s="4" t="s">
        <v>103</v>
      </c>
      <c r="O7" s="25">
        <v>1.0669</v>
      </c>
      <c r="P7" s="28">
        <f t="shared" si="1"/>
        <v>-0.16232911392405064</v>
      </c>
      <c r="Q7" s="33">
        <f>VLOOKUP("POC Qbase (MVAr)", ParamsTable6[#Data], 2, FALSE)*Table2331310[[#This Row],[Qpoc_pu]]</f>
        <v>-16.03</v>
      </c>
      <c r="R7" s="27">
        <f>Table2331310[[#This Row],[Vpoc_pu_sig]]+(Table2331310[[#This Row],[Qpoc_pu]]*VLOOKUP("Voltage droop (%)", ParamsTable6[#Data], 2, FALSE))</f>
        <v>1.0604879999999999</v>
      </c>
      <c r="S7" s="28">
        <v>1</v>
      </c>
      <c r="T7" s="33">
        <f>Table2331310[[#This Row],[Ppoc_pu]]*VLOOKUP("POC Pbase (MW)", ParamsTable6[#Data], 2, FALSE)</f>
        <v>250</v>
      </c>
      <c r="U7" s="27">
        <f>COS(ATAN((0.5*VLOOKUP("POC Qbase (MVAr)",ParamsTable6[#Data], 2, FALSE))/(Table2331310[[#This Row],[Ppoc_MW_sig]])))</f>
        <v>0.98104949825860344</v>
      </c>
      <c r="V7" s="27">
        <f>COS(ATAN((0.75*VLOOKUP("POC Qbase (MVAr)", ParamsTable6[#Data], 2, FALSE))/(Table2331310[[#This Row],[Ppoc_MW_sig]])))</f>
        <v>0.95881020276312001</v>
      </c>
      <c r="W7" s="27">
        <f>COS(ATAN((1.25*VLOOKUP("POC Qbase (MVAr)", ParamsTable6[#Data], 2, FALSE))/(Table2331310[[#This Row],[Ppoc_MW_sig]])))</f>
        <v>0.89665759875662454</v>
      </c>
      <c r="X7" s="37" t="str">
        <f>"SET MODEL 'ppc' CON 161 TO "&amp;(1074)&amp;" AT 0s; "&amp;
"DRIVE MODEL 'ppc' VAR 15 = AT 5s ↑ -1.0, WITH SCALING="&amp;(Table2331310[[#This Row],[0.5Q_PF_target]])</f>
        <v>SET MODEL 'ppc' CON 161 TO 1074 AT 0s; DRIVE MODEL 'ppc' VAR 15 = AT 5s ↑ -1.0, WITH SCALING=0.981049498258603</v>
      </c>
      <c r="Y7" s="4">
        <v>30</v>
      </c>
      <c r="Z7" s="4"/>
      <c r="AA7" s="6" t="s">
        <v>95</v>
      </c>
      <c r="AB7" s="6"/>
    </row>
    <row r="8" spans="1:30" ht="30" thickTop="1" thickBot="1" x14ac:dyDescent="0.35">
      <c r="A8" s="4" t="s">
        <v>24</v>
      </c>
      <c r="B8" s="4" t="s">
        <v>93</v>
      </c>
      <c r="C8" s="4">
        <v>3</v>
      </c>
      <c r="D8" s="4"/>
      <c r="E8" s="4">
        <v>3</v>
      </c>
      <c r="F8" s="4"/>
      <c r="G8" s="4" t="s">
        <v>106</v>
      </c>
      <c r="H8" s="5" t="str">
        <f>Table2331310[[#This Row],[Case]]&amp;"_"&amp;IF(Table2331310[[#This Row],[Deliverable]]="","",Table2331310[[#This Row],[Deliverable]]&amp;"_")&amp;IF(Table2331310[[#This Row],[Clause]]="","",Table2331310[[#This Row],[Clause]]&amp;"_")&amp;SUBSTITUTE(Table2331310[[#This Row],[Category]]," ","")&amp;"_"&amp;TEXT(E8,"000")&amp;IF(F8="","","p"&amp;F8)&amp;"_P"&amp;Table2331310[[#This Row],[Ppoc_pu]]&amp;"_Q"&amp;ROUND(Table2331310[[#This Row],[Qpoc_pu]],2)&amp;"_V"&amp;Table2331310[[#This Row],[Vpoc_pu_sig]]</f>
        <v>SummerLow_Case2_CSR_PFrefSteps_003_P1_Q-0.16_V1.0669</v>
      </c>
      <c r="I8" s="5">
        <v>100</v>
      </c>
      <c r="J8" s="4" t="b">
        <v>1</v>
      </c>
      <c r="K8" s="4" t="b">
        <v>1</v>
      </c>
      <c r="L8" s="4" t="s">
        <v>103</v>
      </c>
      <c r="M8" s="7" t="s">
        <v>103</v>
      </c>
      <c r="N8" s="4" t="s">
        <v>103</v>
      </c>
      <c r="O8" s="25">
        <v>1.0669</v>
      </c>
      <c r="P8" s="28">
        <f t="shared" si="1"/>
        <v>-0.16232911392405064</v>
      </c>
      <c r="Q8" s="33">
        <f>VLOOKUP("POC Qbase (MVAr)", ParamsTable6[#Data], 2, FALSE)*Table2331310[[#This Row],[Qpoc_pu]]</f>
        <v>-16.03</v>
      </c>
      <c r="R8" s="27">
        <f>Table2331310[[#This Row],[Vpoc_pu_sig]]+(Table2331310[[#This Row],[Qpoc_pu]]*VLOOKUP("Voltage droop (%)", ParamsTable6[#Data], 2, FALSE))</f>
        <v>1.0604879999999999</v>
      </c>
      <c r="S8" s="28">
        <v>1</v>
      </c>
      <c r="T8" s="33">
        <f>Table2331310[[#This Row],[Ppoc_pu]]*VLOOKUP("POC Pbase (MW)", ParamsTable6[#Data], 2, FALSE)</f>
        <v>250</v>
      </c>
      <c r="U8" s="27">
        <f>COS(ATAN((0.5*VLOOKUP("POC Qbase (MVAr)",ParamsTable6[#Data], 2, FALSE))/(Table2331310[[#This Row],[Ppoc_MW_sig]])))</f>
        <v>0.98104949825860344</v>
      </c>
      <c r="V8" s="27">
        <f>COS(ATAN((0.75*VLOOKUP("POC Qbase (MVAr)", ParamsTable6[#Data], 2, FALSE))/(Table2331310[[#This Row],[Ppoc_MW_sig]])))</f>
        <v>0.95881020276312001</v>
      </c>
      <c r="W8" s="27">
        <f>COS(ATAN((1.25*VLOOKUP("POC Qbase (MVAr)", ParamsTable6[#Data], 2, FALSE))/(Table2331310[[#This Row],[Ppoc_MW_sig]])))</f>
        <v>0.89665759875662454</v>
      </c>
      <c r="X8" s="37" t="str">
        <f>"SET MODEL 'ppc' CON 161 TO "&amp;(1074)&amp;" AT 0s; "&amp;
"DRIVE MODEL 'ppc' VAR 15 = AT 5s ↑ 1.0, AT 15s ↑ "&amp;(Table2331310[[#This Row],[1.25Q_PF_target]]/Table2331310[[#This Row],[0.25Q_PF_target]])&amp;", WITH SCALING="&amp;(Table2331310[[#This Row],[0.25Q_PF_target]])</f>
        <v>SET MODEL 'ppc' CON 161 TO 1074 AT 0s; DRIVE MODEL 'ppc' VAR 15 = AT 5s ↑ 1.0, AT 15s ↑ 0.935177364792967, WITH SCALING=0.95881020276312</v>
      </c>
      <c r="Y8" s="4">
        <v>30</v>
      </c>
      <c r="Z8" s="4"/>
      <c r="AA8" s="6" t="s">
        <v>96</v>
      </c>
      <c r="AB8" s="6"/>
    </row>
    <row r="9" spans="1:30" ht="30" thickTop="1" thickBot="1" x14ac:dyDescent="0.35">
      <c r="A9" s="4" t="s">
        <v>24</v>
      </c>
      <c r="B9" s="4" t="s">
        <v>93</v>
      </c>
      <c r="C9" s="4">
        <v>4</v>
      </c>
      <c r="D9" s="4"/>
      <c r="E9" s="4">
        <v>4</v>
      </c>
      <c r="F9" s="4"/>
      <c r="G9" s="4" t="s">
        <v>106</v>
      </c>
      <c r="H9" s="5" t="str">
        <f>Table2331310[[#This Row],[Case]]&amp;"_"&amp;IF(Table2331310[[#This Row],[Deliverable]]="","",Table2331310[[#This Row],[Deliverable]]&amp;"_")&amp;IF(Table2331310[[#This Row],[Clause]]="","",Table2331310[[#This Row],[Clause]]&amp;"_")&amp;SUBSTITUTE(Table2331310[[#This Row],[Category]]," ","")&amp;"_"&amp;TEXT(E9,"000")&amp;IF(F9="","","p"&amp;F9)&amp;"_P"&amp;Table2331310[[#This Row],[Ppoc_pu]]&amp;"_Q"&amp;ROUND(Table2331310[[#This Row],[Qpoc_pu]],2)&amp;"_V"&amp;Table2331310[[#This Row],[Vpoc_pu_sig]]</f>
        <v>SummerLow_Case2_CSR_PFrefSteps_004_P1_Q-0.16_V1.0669</v>
      </c>
      <c r="I9" s="5">
        <v>100</v>
      </c>
      <c r="J9" s="4" t="b">
        <v>1</v>
      </c>
      <c r="K9" s="4" t="b">
        <v>1</v>
      </c>
      <c r="L9" s="4" t="s">
        <v>103</v>
      </c>
      <c r="M9" s="7" t="s">
        <v>103</v>
      </c>
      <c r="N9" s="4" t="s">
        <v>103</v>
      </c>
      <c r="O9" s="25">
        <v>1.0669</v>
      </c>
      <c r="P9" s="28">
        <f t="shared" si="1"/>
        <v>-0.16232911392405064</v>
      </c>
      <c r="Q9" s="33">
        <f>VLOOKUP("POC Qbase (MVAr)", ParamsTable6[#Data], 2, FALSE)*Table2331310[[#This Row],[Qpoc_pu]]</f>
        <v>-16.03</v>
      </c>
      <c r="R9" s="27">
        <f>Table2331310[[#This Row],[Vpoc_pu_sig]]+(Table2331310[[#This Row],[Qpoc_pu]]*VLOOKUP("Voltage droop (%)", ParamsTable6[#Data], 2, FALSE))</f>
        <v>1.0604879999999999</v>
      </c>
      <c r="S9" s="28">
        <v>1</v>
      </c>
      <c r="T9" s="33">
        <f>Table2331310[[#This Row],[Ppoc_pu]]*VLOOKUP("POC Pbase (MW)", ParamsTable6[#Data], 2, FALSE)</f>
        <v>250</v>
      </c>
      <c r="U9" s="27">
        <f>COS(ATAN((0.5*VLOOKUP("POC Qbase (MVAr)",ParamsTable6[#Data], 2, FALSE))/(Table2331310[[#This Row],[Ppoc_MW_sig]])))</f>
        <v>0.98104949825860344</v>
      </c>
      <c r="V9" s="27">
        <f>COS(ATAN((0.75*VLOOKUP("POC Qbase (MVAr)", ParamsTable6[#Data], 2, FALSE))/(Table2331310[[#This Row],[Ppoc_MW_sig]])))</f>
        <v>0.95881020276312001</v>
      </c>
      <c r="W9" s="27">
        <f>COS(ATAN((1.25*VLOOKUP("POC Qbase (MVAr)", ParamsTable6[#Data], 2, FALSE))/(Table2331310[[#This Row],[Ppoc_MW_sig]])))</f>
        <v>0.89665759875662454</v>
      </c>
      <c r="X9" s="37" t="str">
        <f>"SET MODEL 'ppc' CON 161 TO "&amp;(1074)&amp;" AT 0s; "&amp;
"DRIVE MODEL 'ppc' VAR 15 = AT 5s ↑ -1.0, AT 15s ↑ "&amp;(-1*Table2331310[[#This Row],[1.25Q_PF_target]]/Table2331310[[#This Row],[0.25Q_PF_target]])&amp;", WITH SCALING="&amp;(Table2331310[[#This Row],[0.25Q_PF_target]])</f>
        <v>SET MODEL 'ppc' CON 161 TO 1074 AT 0s; DRIVE MODEL 'ppc' VAR 15 = AT 5s ↑ -1.0, AT 15s ↑ -0.935177364792967, WITH SCALING=0.95881020276312</v>
      </c>
      <c r="Y9" s="4">
        <v>30</v>
      </c>
      <c r="Z9" s="4"/>
      <c r="AA9" s="6" t="s">
        <v>97</v>
      </c>
      <c r="AB9" s="6"/>
    </row>
    <row r="10" spans="1:30" ht="30" thickTop="1" thickBot="1" x14ac:dyDescent="0.35">
      <c r="A10" s="4" t="s">
        <v>24</v>
      </c>
      <c r="B10" s="4" t="s">
        <v>93</v>
      </c>
      <c r="C10" s="4">
        <v>1</v>
      </c>
      <c r="D10" s="4"/>
      <c r="E10" s="4">
        <v>1</v>
      </c>
      <c r="F10" s="4"/>
      <c r="G10" s="4" t="s">
        <v>104</v>
      </c>
      <c r="H10" s="5" t="str">
        <f>Table2331310[[#This Row],[Case]]&amp;"_"&amp;IF(Table2331310[[#This Row],[Deliverable]]="","",Table2331310[[#This Row],[Deliverable]]&amp;"_")&amp;IF(Table2331310[[#This Row],[Clause]]="","",Table2331310[[#This Row],[Clause]]&amp;"_")&amp;SUBSTITUTE(Table2331310[[#This Row],[Category]]," ","")&amp;"_"&amp;TEXT(E10,"000")&amp;IF(F10="","","p"&amp;F10)&amp;"_P"&amp;Table2331310[[#This Row],[Ppoc_pu]]&amp;"_Q"&amp;ROUND(Table2331310[[#This Row],[Qpoc_pu]],2)&amp;"_V"&amp;Table2331310[[#This Row],[Vpoc_pu_sig]]</f>
        <v>SummerHigh_CSR_PFrefSteps_001_P1_Q-0.27_V1.071</v>
      </c>
      <c r="I10" s="5">
        <v>100</v>
      </c>
      <c r="J10" s="4" t="b">
        <v>1</v>
      </c>
      <c r="K10" s="4" t="b">
        <v>1</v>
      </c>
      <c r="L10" s="4" t="s">
        <v>103</v>
      </c>
      <c r="M10" s="7" t="s">
        <v>103</v>
      </c>
      <c r="N10" s="4" t="s">
        <v>103</v>
      </c>
      <c r="O10" s="25">
        <v>1.071</v>
      </c>
      <c r="P10" s="4">
        <f>(-26.8/98.75)</f>
        <v>-0.27139240506329115</v>
      </c>
      <c r="Q10" s="33">
        <f>VLOOKUP("POC Qbase (MVAr)", ParamsTable6[#Data], 2, FALSE)*Table2331310[[#This Row],[Qpoc_pu]]</f>
        <v>-26.8</v>
      </c>
      <c r="R10" s="27">
        <f>Table2331310[[#This Row],[Vpoc_pu_sig]]+(Table2331310[[#This Row],[Qpoc_pu]]*VLOOKUP("Voltage droop (%)", ParamsTable6[#Data], 2, FALSE))</f>
        <v>1.0602799999999999</v>
      </c>
      <c r="S10" s="28">
        <v>1</v>
      </c>
      <c r="T10" s="33">
        <f>Table2331310[[#This Row],[Ppoc_pu]]*VLOOKUP("POC Pbase (MW)", ParamsTable6[#Data], 2, FALSE)</f>
        <v>250</v>
      </c>
      <c r="U10" s="27">
        <f>COS(ATAN((0.5*VLOOKUP("POC Qbase (MVAr)",ParamsTable6[#Data], 2, FALSE))/(Table2331310[[#This Row],[Ppoc_MW_sig]])))</f>
        <v>0.98104949825860344</v>
      </c>
      <c r="V10" s="27">
        <f>COS(ATAN((0.75*VLOOKUP("POC Qbase (MVAr)", ParamsTable6[#Data], 2, FALSE))/(Table2331310[[#This Row],[Ppoc_MW_sig]])))</f>
        <v>0.95881020276312001</v>
      </c>
      <c r="W10" s="27">
        <f>COS(ATAN((1.25*VLOOKUP("POC Qbase (MVAr)", ParamsTable6[#Data], 2, FALSE))/(Table2331310[[#This Row],[Ppoc_MW_sig]])))</f>
        <v>0.89665759875662454</v>
      </c>
      <c r="X10" s="38" t="str">
        <f>"SET MODEL 'ppc' CON 161 TO "&amp;(1074)&amp;" AT 0s; "&amp;
"DRIVE MODEL 'ppc' VAR 15 = AT 5s ↑ 1.0, WITH SCALING="&amp;(Table2331310[[#This Row],[0.5Q_PF_target]])</f>
        <v>SET MODEL 'ppc' CON 161 TO 1074 AT 0s; DRIVE MODEL 'ppc' VAR 15 = AT 5s ↑ 1.0, WITH SCALING=0.981049498258603</v>
      </c>
      <c r="Y10" s="4">
        <v>30</v>
      </c>
      <c r="Z10" s="4"/>
      <c r="AA10" s="6" t="s">
        <v>94</v>
      </c>
      <c r="AB10" s="6"/>
    </row>
    <row r="11" spans="1:30" ht="30" thickTop="1" thickBot="1" x14ac:dyDescent="0.35">
      <c r="A11" s="4" t="s">
        <v>24</v>
      </c>
      <c r="B11" s="4" t="s">
        <v>93</v>
      </c>
      <c r="C11" s="4">
        <v>2</v>
      </c>
      <c r="D11" s="4"/>
      <c r="E11" s="4">
        <v>2</v>
      </c>
      <c r="F11" s="4"/>
      <c r="G11" s="4" t="s">
        <v>104</v>
      </c>
      <c r="H11" s="5" t="str">
        <f>Table2331310[[#This Row],[Case]]&amp;"_"&amp;IF(Table2331310[[#This Row],[Deliverable]]="","",Table2331310[[#This Row],[Deliverable]]&amp;"_")&amp;IF(Table2331310[[#This Row],[Clause]]="","",Table2331310[[#This Row],[Clause]]&amp;"_")&amp;SUBSTITUTE(Table2331310[[#This Row],[Category]]," ","")&amp;"_"&amp;TEXT(E11,"000")&amp;IF(F11="","","p"&amp;F11)&amp;"_P"&amp;Table2331310[[#This Row],[Ppoc_pu]]&amp;"_Q"&amp;ROUND(Table2331310[[#This Row],[Qpoc_pu]],2)&amp;"_V"&amp;Table2331310[[#This Row],[Vpoc_pu_sig]]</f>
        <v>SummerHigh_CSR_PFrefSteps_002_P1_Q-0.27_V1.071</v>
      </c>
      <c r="I11" s="5">
        <v>100</v>
      </c>
      <c r="J11" s="4" t="b">
        <v>1</v>
      </c>
      <c r="K11" s="4" t="b">
        <v>1</v>
      </c>
      <c r="L11" s="4" t="s">
        <v>103</v>
      </c>
      <c r="M11" s="7" t="s">
        <v>103</v>
      </c>
      <c r="N11" s="4" t="s">
        <v>103</v>
      </c>
      <c r="O11" s="25">
        <v>1.071</v>
      </c>
      <c r="P11" s="4">
        <f t="shared" ref="P11:P13" si="2">(-26.8/98.75)</f>
        <v>-0.27139240506329115</v>
      </c>
      <c r="Q11" s="33">
        <f>VLOOKUP("POC Qbase (MVAr)", ParamsTable6[#Data], 2, FALSE)*Table2331310[[#This Row],[Qpoc_pu]]</f>
        <v>-26.8</v>
      </c>
      <c r="R11" s="27">
        <f>Table2331310[[#This Row],[Vpoc_pu_sig]]+(Table2331310[[#This Row],[Qpoc_pu]]*VLOOKUP("Voltage droop (%)", ParamsTable6[#Data], 2, FALSE))</f>
        <v>1.0602799999999999</v>
      </c>
      <c r="S11" s="28">
        <v>1</v>
      </c>
      <c r="T11" s="33">
        <f>Table2331310[[#This Row],[Ppoc_pu]]*VLOOKUP("POC Pbase (MW)", ParamsTable6[#Data], 2, FALSE)</f>
        <v>250</v>
      </c>
      <c r="U11" s="27">
        <f>COS(ATAN((0.5*VLOOKUP("POC Qbase (MVAr)",ParamsTable6[#Data], 2, FALSE))/(Table2331310[[#This Row],[Ppoc_MW_sig]])))</f>
        <v>0.98104949825860344</v>
      </c>
      <c r="V11" s="27">
        <f>COS(ATAN((0.75*VLOOKUP("POC Qbase (MVAr)", ParamsTable6[#Data], 2, FALSE))/(Table2331310[[#This Row],[Ppoc_MW_sig]])))</f>
        <v>0.95881020276312001</v>
      </c>
      <c r="W11" s="27">
        <f>COS(ATAN((1.25*VLOOKUP("POC Qbase (MVAr)", ParamsTable6[#Data], 2, FALSE))/(Table2331310[[#This Row],[Ppoc_MW_sig]])))</f>
        <v>0.89665759875662454</v>
      </c>
      <c r="X11" s="37" t="str">
        <f>"SET MODEL 'ppc' CON 161 TO "&amp;(1074)&amp;" AT 0s; "&amp;
"DRIVE MODEL 'ppc' VAR 15 = AT 5s ↑ -1.0, WITH SCALING="&amp;(Table2331310[[#This Row],[0.5Q_PF_target]])</f>
        <v>SET MODEL 'ppc' CON 161 TO 1074 AT 0s; DRIVE MODEL 'ppc' VAR 15 = AT 5s ↑ -1.0, WITH SCALING=0.981049498258603</v>
      </c>
      <c r="Y11" s="4">
        <v>30</v>
      </c>
      <c r="Z11" s="4"/>
      <c r="AA11" s="6" t="s">
        <v>95</v>
      </c>
      <c r="AB11" s="6"/>
    </row>
    <row r="12" spans="1:30" ht="30" thickTop="1" thickBot="1" x14ac:dyDescent="0.35">
      <c r="A12" s="4" t="s">
        <v>24</v>
      </c>
      <c r="B12" s="4" t="s">
        <v>93</v>
      </c>
      <c r="C12" s="4">
        <v>3</v>
      </c>
      <c r="D12" s="4"/>
      <c r="E12" s="4">
        <v>3</v>
      </c>
      <c r="F12" s="4"/>
      <c r="G12" s="4" t="s">
        <v>104</v>
      </c>
      <c r="H12" s="5" t="str">
        <f>Table2331310[[#This Row],[Case]]&amp;"_"&amp;IF(Table2331310[[#This Row],[Deliverable]]="","",Table2331310[[#This Row],[Deliverable]]&amp;"_")&amp;IF(Table2331310[[#This Row],[Clause]]="","",Table2331310[[#This Row],[Clause]]&amp;"_")&amp;SUBSTITUTE(Table2331310[[#This Row],[Category]]," ","")&amp;"_"&amp;TEXT(E12,"000")&amp;IF(F12="","","p"&amp;F12)&amp;"_P"&amp;Table2331310[[#This Row],[Ppoc_pu]]&amp;"_Q"&amp;ROUND(Table2331310[[#This Row],[Qpoc_pu]],2)&amp;"_V"&amp;Table2331310[[#This Row],[Vpoc_pu_sig]]</f>
        <v>SummerHigh_CSR_PFrefSteps_003_P1_Q-0.27_V1.071</v>
      </c>
      <c r="I12" s="5">
        <v>100</v>
      </c>
      <c r="J12" s="4" t="b">
        <v>1</v>
      </c>
      <c r="K12" s="4" t="b">
        <v>1</v>
      </c>
      <c r="L12" s="4" t="s">
        <v>103</v>
      </c>
      <c r="M12" s="7" t="s">
        <v>103</v>
      </c>
      <c r="N12" s="4" t="s">
        <v>103</v>
      </c>
      <c r="O12" s="25">
        <v>1.071</v>
      </c>
      <c r="P12" s="4">
        <f t="shared" si="2"/>
        <v>-0.27139240506329115</v>
      </c>
      <c r="Q12" s="33">
        <f>VLOOKUP("POC Qbase (MVAr)", ParamsTable6[#Data], 2, FALSE)*Table2331310[[#This Row],[Qpoc_pu]]</f>
        <v>-26.8</v>
      </c>
      <c r="R12" s="27">
        <f>Table2331310[[#This Row],[Vpoc_pu_sig]]+(Table2331310[[#This Row],[Qpoc_pu]]*VLOOKUP("Voltage droop (%)", ParamsTable6[#Data], 2, FALSE))</f>
        <v>1.0602799999999999</v>
      </c>
      <c r="S12" s="28">
        <v>1</v>
      </c>
      <c r="T12" s="33">
        <f>Table2331310[[#This Row],[Ppoc_pu]]*VLOOKUP("POC Pbase (MW)", ParamsTable6[#Data], 2, FALSE)</f>
        <v>250</v>
      </c>
      <c r="U12" s="27">
        <f>COS(ATAN((0.5*VLOOKUP("POC Qbase (MVAr)",ParamsTable6[#Data], 2, FALSE))/(Table2331310[[#This Row],[Ppoc_MW_sig]])))</f>
        <v>0.98104949825860344</v>
      </c>
      <c r="V12" s="27">
        <f>COS(ATAN((0.75*VLOOKUP("POC Qbase (MVAr)", ParamsTable6[#Data], 2, FALSE))/(Table2331310[[#This Row],[Ppoc_MW_sig]])))</f>
        <v>0.95881020276312001</v>
      </c>
      <c r="W12" s="27">
        <f>COS(ATAN((1.25*VLOOKUP("POC Qbase (MVAr)", ParamsTable6[#Data], 2, FALSE))/(Table2331310[[#This Row],[Ppoc_MW_sig]])))</f>
        <v>0.89665759875662454</v>
      </c>
      <c r="X12" s="37" t="str">
        <f>"SET MODEL 'ppc' CON 161 TO "&amp;(1074)&amp;" AT 0s; "&amp;
"DRIVE MODEL 'ppc' VAR 15 = AT 5s ↑ 1.0, AT 15s ↑ "&amp;(Table2331310[[#This Row],[1.25Q_PF_target]]/Table2331310[[#This Row],[0.25Q_PF_target]])&amp;", WITH SCALING="&amp;(Table2331310[[#This Row],[0.25Q_PF_target]])</f>
        <v>SET MODEL 'ppc' CON 161 TO 1074 AT 0s; DRIVE MODEL 'ppc' VAR 15 = AT 5s ↑ 1.0, AT 15s ↑ 0.935177364792967, WITH SCALING=0.95881020276312</v>
      </c>
      <c r="Y12" s="4">
        <v>30</v>
      </c>
      <c r="Z12" s="4"/>
      <c r="AA12" s="6" t="s">
        <v>96</v>
      </c>
      <c r="AB12" s="6"/>
    </row>
    <row r="13" spans="1:30" ht="30" thickTop="1" thickBot="1" x14ac:dyDescent="0.35">
      <c r="A13" s="4" t="s">
        <v>24</v>
      </c>
      <c r="B13" s="4" t="s">
        <v>93</v>
      </c>
      <c r="C13" s="4">
        <v>4</v>
      </c>
      <c r="D13" s="4"/>
      <c r="E13" s="4">
        <v>4</v>
      </c>
      <c r="F13" s="4"/>
      <c r="G13" s="4" t="s">
        <v>104</v>
      </c>
      <c r="H13" s="5" t="str">
        <f>Table2331310[[#This Row],[Case]]&amp;"_"&amp;IF(Table2331310[[#This Row],[Deliverable]]="","",Table2331310[[#This Row],[Deliverable]]&amp;"_")&amp;IF(Table2331310[[#This Row],[Clause]]="","",Table2331310[[#This Row],[Clause]]&amp;"_")&amp;SUBSTITUTE(Table2331310[[#This Row],[Category]]," ","")&amp;"_"&amp;TEXT(E13,"000")&amp;IF(F13="","","p"&amp;F13)&amp;"_P"&amp;Table2331310[[#This Row],[Ppoc_pu]]&amp;"_Q"&amp;ROUND(Table2331310[[#This Row],[Qpoc_pu]],2)&amp;"_V"&amp;Table2331310[[#This Row],[Vpoc_pu_sig]]</f>
        <v>SummerHigh_CSR_PFrefSteps_004_P1_Q-0.27_V1.071</v>
      </c>
      <c r="I13" s="5">
        <v>100</v>
      </c>
      <c r="J13" s="4" t="b">
        <v>1</v>
      </c>
      <c r="K13" s="4" t="b">
        <v>1</v>
      </c>
      <c r="L13" s="4" t="s">
        <v>103</v>
      </c>
      <c r="M13" s="7" t="s">
        <v>103</v>
      </c>
      <c r="N13" s="4" t="s">
        <v>103</v>
      </c>
      <c r="O13" s="25">
        <v>1.071</v>
      </c>
      <c r="P13" s="4">
        <f t="shared" si="2"/>
        <v>-0.27139240506329115</v>
      </c>
      <c r="Q13" s="33">
        <f>VLOOKUP("POC Qbase (MVAr)", ParamsTable6[#Data], 2, FALSE)*Table2331310[[#This Row],[Qpoc_pu]]</f>
        <v>-26.8</v>
      </c>
      <c r="R13" s="27">
        <f>Table2331310[[#This Row],[Vpoc_pu_sig]]+(Table2331310[[#This Row],[Qpoc_pu]]*VLOOKUP("Voltage droop (%)", ParamsTable6[#Data], 2, FALSE))</f>
        <v>1.0602799999999999</v>
      </c>
      <c r="S13" s="28">
        <v>1</v>
      </c>
      <c r="T13" s="33">
        <f>Table2331310[[#This Row],[Ppoc_pu]]*VLOOKUP("POC Pbase (MW)", ParamsTable6[#Data], 2, FALSE)</f>
        <v>250</v>
      </c>
      <c r="U13" s="27">
        <f>COS(ATAN((0.5*VLOOKUP("POC Qbase (MVAr)",ParamsTable6[#Data], 2, FALSE))/(Table2331310[[#This Row],[Ppoc_MW_sig]])))</f>
        <v>0.98104949825860344</v>
      </c>
      <c r="V13" s="27">
        <f>COS(ATAN((0.75*VLOOKUP("POC Qbase (MVAr)", ParamsTable6[#Data], 2, FALSE))/(Table2331310[[#This Row],[Ppoc_MW_sig]])))</f>
        <v>0.95881020276312001</v>
      </c>
      <c r="W13" s="27">
        <f>COS(ATAN((1.25*VLOOKUP("POC Qbase (MVAr)", ParamsTable6[#Data], 2, FALSE))/(Table2331310[[#This Row],[Ppoc_MW_sig]])))</f>
        <v>0.89665759875662454</v>
      </c>
      <c r="X13" s="37" t="str">
        <f>"SET MODEL 'ppc' CON 161 TO "&amp;(1074)&amp;" AT 0s; "&amp;
"DRIVE MODEL 'ppc' VAR 15 = AT 5s ↑ -1.0, AT 15s ↑ "&amp;(-1*Table2331310[[#This Row],[1.25Q_PF_target]]/Table2331310[[#This Row],[0.25Q_PF_target]])&amp;", WITH SCALING="&amp;(Table2331310[[#This Row],[0.25Q_PF_target]])</f>
        <v>SET MODEL 'ppc' CON 161 TO 1074 AT 0s; DRIVE MODEL 'ppc' VAR 15 = AT 5s ↑ -1.0, AT 15s ↑ -0.935177364792967, WITH SCALING=0.95881020276312</v>
      </c>
      <c r="Y13" s="4">
        <v>30</v>
      </c>
      <c r="Z13" s="4"/>
      <c r="AA13" s="6" t="s">
        <v>97</v>
      </c>
      <c r="AB13" s="6"/>
    </row>
    <row r="14" spans="1:30" ht="15" thickTop="1" x14ac:dyDescent="0.3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D26A-CA49-4A4C-95C7-4F6907695CCF}">
  <sheetPr>
    <tabColor rgb="FF92D050"/>
  </sheetPr>
  <dimension ref="A1:AG9"/>
  <sheetViews>
    <sheetView workbookViewId="0">
      <selection activeCell="H33" sqref="H33"/>
    </sheetView>
  </sheetViews>
  <sheetFormatPr defaultRowHeight="14.4" x14ac:dyDescent="0.3"/>
  <cols>
    <col min="1" max="1" width="13.21875" bestFit="1" customWidth="1"/>
    <col min="2" max="2" width="10.77734375" bestFit="1" customWidth="1"/>
    <col min="3" max="3" width="16.21875" bestFit="1" customWidth="1"/>
    <col min="5" max="5" width="9.6640625" bestFit="1" customWidth="1"/>
    <col min="6" max="6" width="12.6640625" bestFit="1" customWidth="1"/>
    <col min="7" max="7" width="8" bestFit="1" customWidth="1"/>
    <col min="8" max="8" width="47.21875" bestFit="1" customWidth="1"/>
    <col min="9" max="9" width="16.21875" customWidth="1"/>
    <col min="10" max="10" width="7.33203125" bestFit="1" customWidth="1"/>
    <col min="12" max="12" width="11.109375" bestFit="1" customWidth="1"/>
    <col min="13" max="13" width="18.44140625" bestFit="1" customWidth="1"/>
    <col min="14" max="14" width="14.44140625" bestFit="1" customWidth="1"/>
    <col min="15" max="15" width="14" bestFit="1" customWidth="1"/>
    <col min="16" max="16" width="10.88671875" bestFit="1" customWidth="1"/>
    <col min="17" max="17" width="19.33203125" bestFit="1" customWidth="1"/>
    <col min="18" max="18" width="13.44140625" bestFit="1" customWidth="1"/>
    <col min="19" max="19" width="10.6640625" bestFit="1" customWidth="1"/>
    <col min="20" max="20" width="17.77734375" bestFit="1" customWidth="1"/>
    <col min="21" max="21" width="13.5546875" customWidth="1"/>
    <col min="22" max="22" width="12.77734375" bestFit="1" customWidth="1"/>
    <col min="23" max="23" width="16.109375" bestFit="1" customWidth="1"/>
    <col min="24" max="24" width="24" bestFit="1" customWidth="1"/>
    <col min="25" max="25" width="21" bestFit="1" customWidth="1"/>
    <col min="26" max="26" width="21.33203125" bestFit="1" customWidth="1"/>
    <col min="27" max="27" width="21.5546875" bestFit="1" customWidth="1"/>
    <col min="28" max="28" width="12.77734375" bestFit="1" customWidth="1"/>
    <col min="29" max="29" width="12" bestFit="1" customWidth="1"/>
    <col min="30" max="30" width="16.6640625" bestFit="1" customWidth="1"/>
    <col min="31" max="31" width="85.6640625" bestFit="1" customWidth="1"/>
    <col min="32" max="32" width="15.21875" bestFit="1" customWidth="1"/>
    <col min="33" max="33" width="27.77734375" bestFit="1" customWidth="1"/>
  </cols>
  <sheetData>
    <row r="1" spans="1:33" ht="15" thickBot="1" x14ac:dyDescent="0.35">
      <c r="A1" t="s">
        <v>0</v>
      </c>
      <c r="B1" t="s">
        <v>1</v>
      </c>
      <c r="C1" t="s">
        <v>57</v>
      </c>
      <c r="D1" t="s">
        <v>58</v>
      </c>
      <c r="E1" s="1" t="s">
        <v>4</v>
      </c>
      <c r="F1" t="s">
        <v>5</v>
      </c>
      <c r="G1" t="s">
        <v>59</v>
      </c>
      <c r="H1" s="5" t="s">
        <v>6</v>
      </c>
      <c r="I1" s="5" t="s">
        <v>44</v>
      </c>
      <c r="J1" t="s">
        <v>2</v>
      </c>
      <c r="K1" t="s">
        <v>3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s="2" t="s">
        <v>65</v>
      </c>
      <c r="R1" t="s">
        <v>66</v>
      </c>
      <c r="S1" t="s">
        <v>67</v>
      </c>
      <c r="T1" s="2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</v>
      </c>
      <c r="AA1" t="s">
        <v>74</v>
      </c>
      <c r="AB1" t="s">
        <v>75</v>
      </c>
      <c r="AC1" t="s">
        <v>47</v>
      </c>
      <c r="AD1" t="s">
        <v>8</v>
      </c>
      <c r="AE1" t="s">
        <v>23</v>
      </c>
      <c r="AF1" t="s">
        <v>22</v>
      </c>
      <c r="AG1" s="24" t="s">
        <v>76</v>
      </c>
    </row>
    <row r="2" spans="1:33" ht="15" thickBot="1" x14ac:dyDescent="0.35">
      <c r="A2" s="4" t="s">
        <v>24</v>
      </c>
      <c r="B2" s="4" t="s">
        <v>77</v>
      </c>
      <c r="C2" s="4">
        <v>1</v>
      </c>
      <c r="D2" s="4">
        <v>5.5</v>
      </c>
      <c r="E2" s="4">
        <v>1</v>
      </c>
      <c r="F2" s="4"/>
      <c r="G2" s="4"/>
      <c r="H2" s="5" t="str">
        <f>IF(Table25[[#This Row],[Deliverable]]="","",Table25[[#This Row],[Deliverable]]&amp;"_")&amp;IF(Table25[[#This Row],[Clause]]="","",Table25[[#This Row],[Clause]]&amp;"_")&amp;SUBSTITUTE(Table25[[#This Row],[Category]]," ","")&amp;"_"&amp;TEXT(E2,"000")&amp;IF(F2="","","p"&amp;F2)&amp;"_FL"&amp;Table25[[#This Row],[Grid_FL_MVA_sig]]&amp;"_X2R"&amp;Table25[[#This Row],[Grid_X2R_sig]]&amp;"_P"&amp;Table25[[#This Row],[Ppoc_pu]]&amp;"_Q"&amp;Table25[[#This Row],[Qpoc_pu]]&amp;"_V"&amp;Table25[[#This Row],[Vpoc_pu_sig]]</f>
        <v>CSR_5.5_TOV_001_FL2039.54_X2R5.62588_P1_Q-0.427341772151899_V1.077</v>
      </c>
      <c r="I2" s="5">
        <v>1</v>
      </c>
      <c r="J2" s="4" t="b">
        <v>1</v>
      </c>
      <c r="K2" s="4" t="b">
        <v>1</v>
      </c>
      <c r="L2" s="4">
        <f>Table25[[#This Row],[Grid_FL_MVA_sig]]/250</f>
        <v>8.1581600000000005</v>
      </c>
      <c r="M2" s="7">
        <v>2039.54</v>
      </c>
      <c r="N2" s="4">
        <v>5.6258800000000004</v>
      </c>
      <c r="O2" s="25">
        <v>1.077</v>
      </c>
      <c r="P2" s="4">
        <f>(-42.2/98.75)</f>
        <v>-0.42734177215189878</v>
      </c>
      <c r="Q2" s="31">
        <f>VLOOKUP("POC Qbase (MVAr)", ParamsTable6[#Data], 2, FALSE)*Table25[[#This Row],[Qpoc_pu]]</f>
        <v>-42.2</v>
      </c>
      <c r="R2" s="27">
        <f>Table25[[#This Row],[Vpoc_pu_sig]]+(Table25[[#This Row],[Qpoc_pu]]*VLOOKUP("Voltage droop (%)", ParamsTable6[#Data], 2, FALSE))</f>
        <v>1.06012</v>
      </c>
      <c r="S2" s="28">
        <v>1</v>
      </c>
      <c r="T2" s="31">
        <f>Table25[[#This Row],[Ppoc_pu]]*VLOOKUP("POC Pbase (MW)", ParamsTable6[#Data], 2, FALSE)</f>
        <v>250</v>
      </c>
      <c r="U2" s="4">
        <v>1.1000000000000001</v>
      </c>
      <c r="V2" s="4">
        <v>2.5</v>
      </c>
      <c r="W2" s="4">
        <v>0.1</v>
      </c>
      <c r="X2" s="27" t="str">
        <f>"0, AT "&amp;Table25[[#This Row],[Fault_Time]]&amp;"s, ↑ 1, AT "&amp;Table25[[#This Row],[Fault_Time]]+Table25[[#This Row],[Fault_Duration]]&amp;"s ↓ 0"</f>
        <v>0, AT 2.5s, ↑ 1, AT 2.6s ↓ 0</v>
      </c>
      <c r="Y2" s="4">
        <v>3.8</v>
      </c>
      <c r="Z2" s="8">
        <f>Table25[[#This Row],[Fault_Time]]+Table25[[#This Row],[Fault_Duration]]+Table25[[#This Row],[Post_Fault_Duration]]</f>
        <v>6.4</v>
      </c>
      <c r="AA2" s="27">
        <v>2.7711396440626044</v>
      </c>
      <c r="AB2" s="26">
        <v>42.1360330276352</v>
      </c>
      <c r="AC2" s="29">
        <f>1*10^12*Table25[[#This Row],[TOV_MVAr]]/(2*PI()*50*(220*1000)^2)*1</f>
        <v>2.7711396440626044</v>
      </c>
      <c r="AD2" s="6"/>
      <c r="AE2" s="27" t="str">
        <f>"CHANGE FIXED_SHUNT 'tov' MVAR TO "&amp;Table25[[#This Row],[TOV_MVAr]]&amp;" AT "&amp;Table25[[#This Row],[Fault_Time]]&amp;"s; "
&amp;"TRIP FIXED_SHUNT 'tov' AT "&amp;Table25[[#This Row],[Fault_Time]]+Table25[[#This Row],[Fault_Duration]]&amp;"s"</f>
        <v>CHANGE FIXED_SHUNT 'tov' MVAR TO 42.1360330276352 AT 2.5s; TRIP FIXED_SHUNT 'tov' AT 2.6s</v>
      </c>
      <c r="AF2" s="27">
        <v>1.0821000000000001</v>
      </c>
      <c r="AG2" s="30"/>
    </row>
    <row r="3" spans="1:33" ht="15.6" thickTop="1" thickBot="1" x14ac:dyDescent="0.35">
      <c r="A3" s="4" t="s">
        <v>24</v>
      </c>
      <c r="B3" s="4" t="s">
        <v>77</v>
      </c>
      <c r="C3" s="4">
        <v>2</v>
      </c>
      <c r="D3" s="4">
        <v>5.5</v>
      </c>
      <c r="E3" s="4">
        <v>2</v>
      </c>
      <c r="F3" s="4"/>
      <c r="G3" s="4"/>
      <c r="H3" s="5" t="str">
        <f>IF(Table25[[#This Row],[Deliverable]]="","",Table25[[#This Row],[Deliverable]]&amp;"_")&amp;IF(Table25[[#This Row],[Clause]]="","",Table25[[#This Row],[Clause]]&amp;"_")&amp;SUBSTITUTE(Table25[[#This Row],[Category]]," ","")&amp;"_"&amp;TEXT(E3,"000")&amp;IF(F3="","","p"&amp;F3)&amp;"_FL"&amp;Table25[[#This Row],[Grid_FL_MVA_sig]]&amp;"_X2R"&amp;Table25[[#This Row],[Grid_X2R_sig]]&amp;"_P"&amp;Table25[[#This Row],[Ppoc_pu]]&amp;"_Q"&amp;Table25[[#This Row],[Qpoc_pu]]&amp;"_V"&amp;Table25[[#This Row],[Vpoc_pu_sig]]</f>
        <v>CSR_5.5_TOV_002_FL2039.54_X2R5.62588_P1_Q-0.427341772151899_V1.077</v>
      </c>
      <c r="I3" s="5">
        <v>1</v>
      </c>
      <c r="J3" s="4" t="b">
        <v>1</v>
      </c>
      <c r="K3" s="4" t="b">
        <v>1</v>
      </c>
      <c r="L3" s="4">
        <f>Table25[[#This Row],[Grid_FL_MVA_sig]]/250</f>
        <v>8.1581600000000005</v>
      </c>
      <c r="M3" s="7">
        <v>2039.54</v>
      </c>
      <c r="N3" s="4">
        <v>5.6258800000000004</v>
      </c>
      <c r="O3" s="25">
        <v>1.077</v>
      </c>
      <c r="P3" s="4">
        <f>(-42.2/98.75)</f>
        <v>-0.42734177215189878</v>
      </c>
      <c r="Q3" s="32">
        <f>VLOOKUP("POC Qbase (MVAr)", ParamsTable6[#Data], 2, FALSE)*Table25[[#This Row],[Qpoc_pu]]</f>
        <v>-42.2</v>
      </c>
      <c r="R3" s="7">
        <f>Table25[[#This Row],[Vpoc_pu_sig]]+(Table25[[#This Row],[Qpoc_pu]]*VLOOKUP("Voltage droop (%)", ParamsTable6[#Data], 2, FALSE))</f>
        <v>1.06012</v>
      </c>
      <c r="S3" s="4">
        <v>1</v>
      </c>
      <c r="T3" s="7">
        <f>Table25[[#This Row],[Ppoc_pu]]*VLOOKUP("POC Pbase (MW)", ParamsTable6[#Data], 2, FALSE)</f>
        <v>250</v>
      </c>
      <c r="U3" s="4">
        <v>1.1499999999999999</v>
      </c>
      <c r="V3" s="4">
        <v>2.5</v>
      </c>
      <c r="W3" s="4">
        <v>0.1</v>
      </c>
      <c r="X3" s="7" t="str">
        <f>"0, AT "&amp;Table25[[#This Row],[Fault_Time]]&amp;"s, ↑ 1, AT "&amp;Table25[[#This Row],[Fault_Time]]+Table25[[#This Row],[Fault_Duration]]&amp;"s ↓ 0"</f>
        <v>0, AT 2.5s, ↑ 1, AT 2.6s ↓ 0</v>
      </c>
      <c r="Y3" s="4">
        <v>3.8</v>
      </c>
      <c r="Z3" s="5">
        <f>Table25[[#This Row],[Fault_Time]]+Table25[[#This Row],[Fault_Duration]]+Table25[[#This Row],[Post_Fault_Duration]]</f>
        <v>6.4</v>
      </c>
      <c r="AA3" s="7">
        <v>8.4312993227842554</v>
      </c>
      <c r="AB3" s="26">
        <v>128.20050678134999</v>
      </c>
      <c r="AC3" s="26">
        <f>1*10^12*Table25[[#This Row],[TOV_MVAr]]/(2*PI()*50*(220*1000)^2)*1</f>
        <v>8.4312993227842554</v>
      </c>
      <c r="AD3" s="6"/>
      <c r="AE3" s="7" t="str">
        <f>"CHANGE FIXED_SHUNT 'tov' MVAR TO "&amp;Table25[[#This Row],[TOV_MVAr]]&amp;" AT "&amp;Table25[[#This Row],[Fault_Time]]&amp;"s; "
&amp;"TRIP FIXED_SHUNT 'tov' AT "&amp;Table25[[#This Row],[Fault_Time]]+Table25[[#This Row],[Fault_Duration]]&amp;"s"</f>
        <v>CHANGE FIXED_SHUNT 'tov' MVAR TO 128.20050678135 AT 2.5s; TRIP FIXED_SHUNT 'tov' AT 2.6s</v>
      </c>
      <c r="AF3" s="7">
        <v>1.0821000000000001</v>
      </c>
    </row>
    <row r="4" spans="1:33" ht="15.6" thickTop="1" thickBot="1" x14ac:dyDescent="0.35">
      <c r="A4" s="4" t="s">
        <v>24</v>
      </c>
      <c r="B4" s="4" t="s">
        <v>77</v>
      </c>
      <c r="C4" s="4">
        <v>3</v>
      </c>
      <c r="D4" s="4">
        <v>5.5</v>
      </c>
      <c r="E4" s="4">
        <v>3</v>
      </c>
      <c r="F4" s="4"/>
      <c r="G4" s="4"/>
      <c r="H4" s="5" t="str">
        <f>IF(Table25[[#This Row],[Deliverable]]="","",Table25[[#This Row],[Deliverable]]&amp;"_")&amp;IF(Table25[[#This Row],[Clause]]="","",Table25[[#This Row],[Clause]]&amp;"_")&amp;SUBSTITUTE(Table25[[#This Row],[Category]]," ","")&amp;"_"&amp;TEXT(E4,"000")&amp;IF(F4="","","p"&amp;F4)&amp;"_FL"&amp;Table25[[#This Row],[Grid_FL_MVA_sig]]&amp;"_X2R"&amp;Table25[[#This Row],[Grid_X2R_sig]]&amp;"_P"&amp;Table25[[#This Row],[Ppoc_pu]]&amp;"_Q"&amp;Table25[[#This Row],[Qpoc_pu]]&amp;"_V"&amp;Table25[[#This Row],[Vpoc_pu_sig]]</f>
        <v>CSR_5.5_TOV_003_FL2039.54_X2R5.62588_P1_Q-0.427341772151899_V1.077</v>
      </c>
      <c r="I4" s="5">
        <v>1</v>
      </c>
      <c r="J4" s="4" t="b">
        <v>1</v>
      </c>
      <c r="K4" s="4" t="b">
        <v>1</v>
      </c>
      <c r="L4" s="4">
        <f>Table25[[#This Row],[Grid_FL_MVA_sig]]/250</f>
        <v>8.1581600000000005</v>
      </c>
      <c r="M4" s="7">
        <v>2039.54</v>
      </c>
      <c r="N4" s="4">
        <v>5.6258800000000004</v>
      </c>
      <c r="O4" s="25">
        <v>1.077</v>
      </c>
      <c r="P4" s="4">
        <f t="shared" ref="P4:P7" si="0">(-42.2/98.75)</f>
        <v>-0.42734177215189878</v>
      </c>
      <c r="Q4" s="32">
        <f>VLOOKUP("POC Qbase (MVAr)", ParamsTable6[#Data], 2, FALSE)*Table25[[#This Row],[Qpoc_pu]]</f>
        <v>-42.2</v>
      </c>
      <c r="R4" s="7">
        <f>Table25[[#This Row],[Vpoc_pu_sig]]+(Table25[[#This Row],[Qpoc_pu]]*VLOOKUP("Voltage droop (%)", ParamsTable6[#Data], 2, FALSE))</f>
        <v>1.06012</v>
      </c>
      <c r="S4" s="4">
        <v>1</v>
      </c>
      <c r="T4" s="7">
        <f>Table25[[#This Row],[Ppoc_pu]]*VLOOKUP("POC Pbase (MW)", ParamsTable6[#Data], 2, FALSE)</f>
        <v>250</v>
      </c>
      <c r="U4" s="4">
        <v>1.2</v>
      </c>
      <c r="V4" s="4">
        <v>2.5</v>
      </c>
      <c r="W4" s="4">
        <v>0.1</v>
      </c>
      <c r="X4" s="7" t="str">
        <f>"0, AT "&amp;Table25[[#This Row],[Fault_Time]]&amp;"s, ↑ 1, AT "&amp;Table25[[#This Row],[Fault_Time]]+Table25[[#This Row],[Fault_Duration]]&amp;"s ↓ 0"</f>
        <v>0, AT 2.5s, ↑ 1, AT 2.6s ↓ 0</v>
      </c>
      <c r="Y4" s="4">
        <v>3.8</v>
      </c>
      <c r="Z4" s="8">
        <f>Table25[[#This Row],[Fault_Time]]+Table25[[#This Row],[Fault_Duration]]+Table25[[#This Row],[Post_Fault_Duration]]</f>
        <v>6.4</v>
      </c>
      <c r="AA4" s="7">
        <v>13.637184452691178</v>
      </c>
      <c r="AB4" s="26">
        <v>207.35759590236199</v>
      </c>
      <c r="AC4" s="26">
        <f>1*10^12*Table25[[#This Row],[TOV_MVAr]]/(2*PI()*50*(220*1000)^2)*1</f>
        <v>13.637184452691178</v>
      </c>
      <c r="AD4" s="6"/>
      <c r="AE4" s="7" t="str">
        <f>"CHANGE FIXED_SHUNT 'tov' MVAR TO "&amp;Table25[[#This Row],[TOV_MVAr]]&amp;" AT "&amp;Table25[[#This Row],[Fault_Time]]&amp;"s; "
&amp;"TRIP FIXED_SHUNT 'tov' AT "&amp;Table25[[#This Row],[Fault_Time]]+Table25[[#This Row],[Fault_Duration]]&amp;"s"</f>
        <v>CHANGE FIXED_SHUNT 'tov' MVAR TO 207.357595902362 AT 2.5s; TRIP FIXED_SHUNT 'tov' AT 2.6s</v>
      </c>
      <c r="AF4" s="7">
        <v>1.0821000000000001</v>
      </c>
    </row>
    <row r="5" spans="1:33" ht="15.6" thickTop="1" thickBot="1" x14ac:dyDescent="0.35">
      <c r="A5" s="4" t="s">
        <v>24</v>
      </c>
      <c r="B5" s="4" t="s">
        <v>77</v>
      </c>
      <c r="C5" s="4">
        <v>4</v>
      </c>
      <c r="D5" s="4">
        <v>5.5</v>
      </c>
      <c r="E5" s="4">
        <v>4</v>
      </c>
      <c r="F5" s="4"/>
      <c r="G5" s="4"/>
      <c r="H5" s="5" t="str">
        <f>IF(Table25[[#This Row],[Deliverable]]="","",Table25[[#This Row],[Deliverable]]&amp;"_")&amp;IF(Table25[[#This Row],[Clause]]="","",Table25[[#This Row],[Clause]]&amp;"_")&amp;SUBSTITUTE(Table25[[#This Row],[Category]]," ","")&amp;"_"&amp;TEXT(E5,"000")&amp;IF(F5="","","p"&amp;F5)&amp;"_FL"&amp;Table25[[#This Row],[Grid_FL_MVA_sig]]&amp;"_X2R"&amp;Table25[[#This Row],[Grid_X2R_sig]]&amp;"_P"&amp;Table25[[#This Row],[Ppoc_pu]]&amp;"_Q"&amp;Table25[[#This Row],[Qpoc_pu]]&amp;"_V"&amp;Table25[[#This Row],[Vpoc_pu_sig]]</f>
        <v>CSR_5.5_TOV_004_FL2039.54_X2R5.62588_P1_Q-0.427341772151899_V1.077</v>
      </c>
      <c r="I5" s="5">
        <v>1</v>
      </c>
      <c r="J5" s="4" t="b">
        <v>1</v>
      </c>
      <c r="K5" s="4" t="b">
        <v>1</v>
      </c>
      <c r="L5" s="4">
        <f>Table25[[#This Row],[Grid_FL_MVA_sig]]/250</f>
        <v>8.1581600000000005</v>
      </c>
      <c r="M5" s="7">
        <v>2039.54</v>
      </c>
      <c r="N5" s="4">
        <v>5.6258800000000004</v>
      </c>
      <c r="O5" s="25">
        <v>1.077</v>
      </c>
      <c r="P5" s="4">
        <f t="shared" si="0"/>
        <v>-0.42734177215189878</v>
      </c>
      <c r="Q5" s="32">
        <f>VLOOKUP("POC Qbase (MVAr)", ParamsTable6[#Data], 2, FALSE)*Table25[[#This Row],[Qpoc_pu]]</f>
        <v>-42.2</v>
      </c>
      <c r="R5" s="7">
        <f>Table25[[#This Row],[Vpoc_pu_sig]]+(Table25[[#This Row],[Qpoc_pu]]*VLOOKUP("Voltage droop (%)", ParamsTable6[#Data], 2, FALSE))</f>
        <v>1.06012</v>
      </c>
      <c r="S5" s="4">
        <v>1</v>
      </c>
      <c r="T5" s="7">
        <f>Table25[[#This Row],[Ppoc_pu]]*VLOOKUP("POC Pbase (MW)", ParamsTable6[#Data], 2, FALSE)</f>
        <v>250</v>
      </c>
      <c r="U5" s="4">
        <v>1.25</v>
      </c>
      <c r="V5" s="4">
        <v>2.5</v>
      </c>
      <c r="W5" s="4">
        <v>0.1</v>
      </c>
      <c r="X5" s="7" t="str">
        <f>"0, AT "&amp;Table25[[#This Row],[Fault_Time]]&amp;"s, ↑ 1, AT "&amp;Table25[[#This Row],[Fault_Time]]+Table25[[#This Row],[Fault_Duration]]&amp;"s ↓ 0"</f>
        <v>0, AT 2.5s, ↑ 1, AT 2.6s ↓ 0</v>
      </c>
      <c r="Y5" s="4">
        <v>3.8</v>
      </c>
      <c r="Z5" s="8">
        <f>Table25[[#This Row],[Fault_Time]]+Table25[[#This Row],[Fault_Duration]]+Table25[[#This Row],[Post_Fault_Duration]]</f>
        <v>6.4</v>
      </c>
      <c r="AA5" s="7">
        <v>18.454648617785679</v>
      </c>
      <c r="AB5" s="26">
        <v>280.60862444752797</v>
      </c>
      <c r="AC5" s="26">
        <f>1*10^12*Table25[[#This Row],[TOV_MVAr]]/(2*PI()*50*(220*1000)^2)*1</f>
        <v>18.454648617785679</v>
      </c>
      <c r="AD5" s="6"/>
      <c r="AE5" s="7" t="str">
        <f>"CHANGE FIXED_SHUNT 'tov' MVAR TO "&amp;Table25[[#This Row],[TOV_MVAr]]&amp;" AT "&amp;Table25[[#This Row],[Fault_Time]]&amp;"s; "
&amp;"TRIP FIXED_SHUNT 'tov' AT "&amp;Table25[[#This Row],[Fault_Time]]+Table25[[#This Row],[Fault_Duration]]&amp;"s"</f>
        <v>CHANGE FIXED_SHUNT 'tov' MVAR TO 280.608624447528 AT 2.5s; TRIP FIXED_SHUNT 'tov' AT 2.6s</v>
      </c>
      <c r="AF5" s="7">
        <v>1.0821000000000001</v>
      </c>
    </row>
    <row r="6" spans="1:33" ht="15.6" thickTop="1" thickBot="1" x14ac:dyDescent="0.35">
      <c r="A6" s="4" t="s">
        <v>24</v>
      </c>
      <c r="B6" s="4" t="s">
        <v>77</v>
      </c>
      <c r="C6" s="4">
        <v>5</v>
      </c>
      <c r="D6" s="4">
        <v>5.5</v>
      </c>
      <c r="E6" s="4">
        <v>5</v>
      </c>
      <c r="F6" s="4"/>
      <c r="G6" s="4"/>
      <c r="H6" s="5" t="str">
        <f>IF(Table25[[#This Row],[Deliverable]]="","",Table25[[#This Row],[Deliverable]]&amp;"_")&amp;IF(Table25[[#This Row],[Clause]]="","",Table25[[#This Row],[Clause]]&amp;"_")&amp;SUBSTITUTE(Table25[[#This Row],[Category]]," ","")&amp;"_"&amp;TEXT(E6,"000")&amp;IF(F6="","","p"&amp;F6)&amp;"_FL"&amp;Table25[[#This Row],[Grid_FL_MVA_sig]]&amp;"_X2R"&amp;Table25[[#This Row],[Grid_X2R_sig]]&amp;"_P"&amp;Table25[[#This Row],[Ppoc_pu]]&amp;"_Q"&amp;Table25[[#This Row],[Qpoc_pu]]&amp;"_V"&amp;Table25[[#This Row],[Vpoc_pu_sig]]</f>
        <v>CSR_5.5_TOV_005_FL2039.54_X2R5.62588_P1_Q-0.427341772151899_V1.077</v>
      </c>
      <c r="I6" s="5">
        <v>1</v>
      </c>
      <c r="J6" s="4" t="b">
        <v>1</v>
      </c>
      <c r="K6" s="4" t="b">
        <v>1</v>
      </c>
      <c r="L6" s="4">
        <f>Table25[[#This Row],[Grid_FL_MVA_sig]]/250</f>
        <v>8.1581600000000005</v>
      </c>
      <c r="M6" s="7">
        <v>2039.54</v>
      </c>
      <c r="N6" s="4">
        <v>5.6258800000000004</v>
      </c>
      <c r="O6" s="25">
        <v>1.077</v>
      </c>
      <c r="P6" s="4">
        <f t="shared" si="0"/>
        <v>-0.42734177215189878</v>
      </c>
      <c r="Q6" s="32">
        <f>VLOOKUP("POC Qbase (MVAr)", ParamsTable6[#Data], 2, FALSE)*Table25[[#This Row],[Qpoc_pu]]</f>
        <v>-42.2</v>
      </c>
      <c r="R6" s="7">
        <f>Table25[[#This Row],[Vpoc_pu_sig]]+(Table25[[#This Row],[Qpoc_pu]]*VLOOKUP("Voltage droop (%)", ParamsTable6[#Data], 2, FALSE))</f>
        <v>1.06012</v>
      </c>
      <c r="S6" s="4">
        <v>1</v>
      </c>
      <c r="T6" s="7">
        <f>Table25[[#This Row],[Ppoc_pu]]*VLOOKUP("POC Pbase (MW)", ParamsTable6[#Data], 2, FALSE)</f>
        <v>250</v>
      </c>
      <c r="U6" s="4">
        <v>1.3</v>
      </c>
      <c r="V6" s="4">
        <v>2.5</v>
      </c>
      <c r="W6" s="4">
        <v>0.1</v>
      </c>
      <c r="X6" s="7" t="str">
        <f>"0, AT "&amp;Table25[[#This Row],[Fault_Time]]&amp;"s, ↑ 1, AT "&amp;Table25[[#This Row],[Fault_Time]]+Table25[[#This Row],[Fault_Duration]]&amp;"s ↓ 0"</f>
        <v>0, AT 2.5s, ↑ 1, AT 2.6s ↓ 0</v>
      </c>
      <c r="Y6" s="4">
        <v>3.8</v>
      </c>
      <c r="Z6" s="8">
        <f>Table25[[#This Row],[Fault_Time]]+Table25[[#This Row],[Fault_Duration]]+Table25[[#This Row],[Post_Fault_Duration]]</f>
        <v>6.4</v>
      </c>
      <c r="AA6" s="7">
        <v>22.897231121508643</v>
      </c>
      <c r="AB6" s="26">
        <v>348.159461701775</v>
      </c>
      <c r="AC6" s="26">
        <f>1*10^12*Table25[[#This Row],[TOV_MVAr]]/(2*PI()*50*(220*1000)^2)*1</f>
        <v>22.897231121508643</v>
      </c>
      <c r="AD6" s="6"/>
      <c r="AE6" s="7" t="str">
        <f>"CHANGE FIXED_SHUNT 'tov' MVAR TO "&amp;Table25[[#This Row],[TOV_MVAr]]&amp;" AT "&amp;Table25[[#This Row],[Fault_Time]]&amp;"s; "
&amp;"TRIP FIXED_SHUNT 'tov' AT "&amp;Table25[[#This Row],[Fault_Time]]+Table25[[#This Row],[Fault_Duration]]&amp;"s"</f>
        <v>CHANGE FIXED_SHUNT 'tov' MVAR TO 348.159461701775 AT 2.5s; TRIP FIXED_SHUNT 'tov' AT 2.6s</v>
      </c>
      <c r="AF6" s="7">
        <v>1.0821000000000001</v>
      </c>
    </row>
    <row r="7" spans="1:33" ht="15.6" thickTop="1" thickBot="1" x14ac:dyDescent="0.35">
      <c r="A7" s="4" t="s">
        <v>24</v>
      </c>
      <c r="B7" s="4" t="s">
        <v>77</v>
      </c>
      <c r="C7" s="4">
        <v>6</v>
      </c>
      <c r="D7" s="4">
        <v>5.5</v>
      </c>
      <c r="E7" s="4">
        <v>6</v>
      </c>
      <c r="F7" s="4"/>
      <c r="G7" s="4"/>
      <c r="H7" s="5" t="str">
        <f>IF(Table25[[#This Row],[Deliverable]]="","",Table25[[#This Row],[Deliverable]]&amp;"_")&amp;IF(Table25[[#This Row],[Clause]]="","",Table25[[#This Row],[Clause]]&amp;"_")&amp;SUBSTITUTE(Table25[[#This Row],[Category]]," ","")&amp;"_"&amp;TEXT(E7,"000")&amp;IF(F7="","","p"&amp;F7)&amp;"_FL"&amp;Table25[[#This Row],[Grid_FL_MVA_sig]]&amp;"_X2R"&amp;Table25[[#This Row],[Grid_X2R_sig]]&amp;"_P"&amp;Table25[[#This Row],[Ppoc_pu]]&amp;"_Q"&amp;Table25[[#This Row],[Qpoc_pu]]&amp;"_V"&amp;Table25[[#This Row],[Vpoc_pu_sig]]</f>
        <v>CSR_5.5_TOV_006_FL2039.54_X2R5.62588_P1_Q-0.427341772151899_V1.077</v>
      </c>
      <c r="I7" s="5">
        <v>1</v>
      </c>
      <c r="J7" s="4" t="b">
        <v>1</v>
      </c>
      <c r="K7" s="4" t="b">
        <v>1</v>
      </c>
      <c r="L7" s="4">
        <f>Table25[[#This Row],[Grid_FL_MVA_sig]]/250</f>
        <v>8.1581600000000005</v>
      </c>
      <c r="M7" s="7">
        <v>2039.54</v>
      </c>
      <c r="N7" s="4">
        <v>5.6258800000000004</v>
      </c>
      <c r="O7" s="25">
        <v>1.077</v>
      </c>
      <c r="P7" s="4">
        <f t="shared" si="0"/>
        <v>-0.42734177215189878</v>
      </c>
      <c r="Q7" s="32">
        <f>VLOOKUP("POC Qbase (MVAr)", ParamsTable6[#Data], 2, FALSE)*Table25[[#This Row],[Qpoc_pu]]</f>
        <v>-42.2</v>
      </c>
      <c r="R7" s="7">
        <f>Table25[[#This Row],[Vpoc_pu_sig]]+(Table25[[#This Row],[Qpoc_pu]]*VLOOKUP("Voltage droop (%)", ParamsTable6[#Data], 2, FALSE))</f>
        <v>1.06012</v>
      </c>
      <c r="S7" s="4">
        <v>1</v>
      </c>
      <c r="T7" s="7">
        <f>Table25[[#This Row],[Ppoc_pu]]*VLOOKUP("POC Pbase (MW)", ParamsTable6[#Data], 2, FALSE)</f>
        <v>250</v>
      </c>
      <c r="U7" s="4">
        <v>1.35</v>
      </c>
      <c r="V7" s="4">
        <v>2.5</v>
      </c>
      <c r="W7" s="4">
        <v>0.1</v>
      </c>
      <c r="X7" s="7" t="str">
        <f>"0, AT "&amp;Table25[[#This Row],[Fault_Time]]&amp;"s, ↑ 1, AT "&amp;Table25[[#This Row],[Fault_Time]]+Table25[[#This Row],[Fault_Duration]]&amp;"s ↓ 0"</f>
        <v>0, AT 2.5s, ↑ 1, AT 2.6s ↓ 0</v>
      </c>
      <c r="Y7" s="4">
        <v>3.8</v>
      </c>
      <c r="Z7" s="8">
        <f>Table25[[#This Row],[Fault_Time]]+Table25[[#This Row],[Fault_Duration]]+Table25[[#This Row],[Post_Fault_Duration]]</f>
        <v>6.4</v>
      </c>
      <c r="AA7" s="7">
        <v>27.048313079651724</v>
      </c>
      <c r="AB7" s="26">
        <v>411.27794324906802</v>
      </c>
      <c r="AC7" s="26">
        <f>1*10^12*Table25[[#This Row],[TOV_MVAr]]/(2*PI()*50*(220*1000)^2)*1</f>
        <v>27.048313079651724</v>
      </c>
      <c r="AD7" s="6"/>
      <c r="AE7" s="7" t="str">
        <f>"CHANGE FIXED_SHUNT 'tov' MVAR TO "&amp;Table25[[#This Row],[TOV_MVAr]]&amp;" AT "&amp;Table25[[#This Row],[Fault_Time]]&amp;"s; "
&amp;"TRIP FIXED_SHUNT 'tov' AT "&amp;Table25[[#This Row],[Fault_Time]]+Table25[[#This Row],[Fault_Duration]]&amp;"s"</f>
        <v>CHANGE FIXED_SHUNT 'tov' MVAR TO 411.277943249068 AT 2.5s; TRIP FIXED_SHUNT 'tov' AT 2.6s</v>
      </c>
      <c r="AF7" s="7">
        <v>1.0821000000000001</v>
      </c>
    </row>
    <row r="8" spans="1:33" ht="15.6" thickTop="1" thickBot="1" x14ac:dyDescent="0.35">
      <c r="A8" s="4" t="s">
        <v>24</v>
      </c>
      <c r="B8" s="4" t="s">
        <v>77</v>
      </c>
      <c r="C8" s="4">
        <v>7</v>
      </c>
      <c r="D8" s="4">
        <v>5.5</v>
      </c>
      <c r="E8" s="4">
        <v>7</v>
      </c>
      <c r="F8" s="4"/>
      <c r="G8" s="4"/>
      <c r="H8" s="5" t="str">
        <f>IF(Table25[[#This Row],[Deliverable]]="","",Table25[[#This Row],[Deliverable]]&amp;"_")&amp;IF(Table25[[#This Row],[Clause]]="","",Table25[[#This Row],[Clause]]&amp;"_")&amp;SUBSTITUTE(Table25[[#This Row],[Category]]," ","")&amp;"_"&amp;TEXT(E8,"000")&amp;IF(F8="","","p"&amp;F8)&amp;"_FL"&amp;Table25[[#This Row],[Grid_FL_MVA_sig]]&amp;"_X2R"&amp;Table25[[#This Row],[Grid_X2R_sig]]&amp;"_P"&amp;Table25[[#This Row],[Ppoc_pu]]&amp;"_Q"&amp;Table25[[#This Row],[Qpoc_pu]]&amp;"_V"&amp;Table25[[#This Row],[Vpoc_pu_sig]]</f>
        <v>CSR_5.5_TOV_007_FL2039.54_X2R5.62588_P1_Q-0.427341772151899_V1.077</v>
      </c>
      <c r="I8" s="5">
        <v>1</v>
      </c>
      <c r="J8" s="4" t="b">
        <v>1</v>
      </c>
      <c r="K8" s="4" t="b">
        <v>1</v>
      </c>
      <c r="L8" s="4">
        <f>Table25[[#This Row],[Grid_FL_MVA_sig]]/250</f>
        <v>8.1581600000000005</v>
      </c>
      <c r="M8" s="7">
        <v>2039.54</v>
      </c>
      <c r="N8" s="4">
        <v>5.6258800000000004</v>
      </c>
      <c r="O8" s="25">
        <v>1.077</v>
      </c>
      <c r="P8" s="4">
        <f>(-42.2/98.75)</f>
        <v>-0.42734177215189878</v>
      </c>
      <c r="Q8" s="33">
        <f>VLOOKUP("POC Qbase (MVAr)", ParamsTable6[#Data], 2, FALSE)*Table25[[#This Row],[Qpoc_pu]]</f>
        <v>-42.2</v>
      </c>
      <c r="R8" s="27">
        <f>Table25[[#This Row],[Vpoc_pu_sig]]+(Table25[[#This Row],[Qpoc_pu]]*VLOOKUP("Voltage droop (%)", ParamsTable6[#Data], 2, FALSE))</f>
        <v>1.06012</v>
      </c>
      <c r="S8" s="28">
        <v>1</v>
      </c>
      <c r="T8" s="27">
        <f>Table25[[#This Row],[Ppoc_pu]]*VLOOKUP("POC Pbase (MW)", ParamsTable6[#Data], 2, FALSE)</f>
        <v>250</v>
      </c>
      <c r="U8" s="4">
        <v>1.4</v>
      </c>
      <c r="V8" s="4">
        <v>2.5</v>
      </c>
      <c r="W8" s="4">
        <v>0.1</v>
      </c>
      <c r="X8" s="27" t="str">
        <f>"0, AT "&amp;Table25[[#This Row],[Fault_Time]]&amp;"s, ↑ 1, AT "&amp;Table25[[#This Row],[Fault_Time]]+Table25[[#This Row],[Fault_Duration]]&amp;"s ↓ 0"</f>
        <v>0, AT 2.5s, ↑ 1, AT 2.6s ↓ 0</v>
      </c>
      <c r="Y8" s="4">
        <v>3.8</v>
      </c>
      <c r="Z8" s="8">
        <f>Table25[[#This Row],[Fault_Time]]+Table25[[#This Row],[Fault_Duration]]+Table25[[#This Row],[Post_Fault_Duration]]</f>
        <v>6.4</v>
      </c>
      <c r="AA8" s="27">
        <v>30.904166012653263</v>
      </c>
      <c r="AB8" s="26">
        <v>469.90737640764701</v>
      </c>
      <c r="AC8" s="29">
        <f>1*10^12*Table25[[#This Row],[TOV_MVAr]]/(2*PI()*50*(220*1000)^2)*1</f>
        <v>30.904166012653263</v>
      </c>
      <c r="AD8" s="6"/>
      <c r="AE8" s="27" t="str">
        <f>"CHANGE FIXED_SHUNT 'tov' MVAR TO "&amp;Table25[[#This Row],[TOV_MVAr]]&amp;" AT "&amp;Table25[[#This Row],[Fault_Time]]&amp;"s; "
&amp;"TRIP FIXED_SHUNT 'tov' AT "&amp;Table25[[#This Row],[Fault_Time]]+Table25[[#This Row],[Fault_Duration]]&amp;"s"</f>
        <v>CHANGE FIXED_SHUNT 'tov' MVAR TO 469.907376407647 AT 2.5s; TRIP FIXED_SHUNT 'tov' AT 2.6s</v>
      </c>
      <c r="AF8" s="27">
        <v>1.0821000000000001</v>
      </c>
    </row>
    <row r="9" spans="1:33" ht="15" thickTop="1" x14ac:dyDescent="0.3"/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62A2773FB60D4A8D79546736B675F2" ma:contentTypeVersion="13" ma:contentTypeDescription="Create a new document." ma:contentTypeScope="" ma:versionID="a74c6c9660502d3e54adb392bc5a1a81">
  <xsd:schema xmlns:xsd="http://www.w3.org/2001/XMLSchema" xmlns:xs="http://www.w3.org/2001/XMLSchema" xmlns:p="http://schemas.microsoft.com/office/2006/metadata/properties" xmlns:ns2="e1079154-68e0-41d7-bbe3-a931de08df9e" xmlns:ns3="05c4e442-bf41-4caf-8651-6c522c44ff0d" targetNamespace="http://schemas.microsoft.com/office/2006/metadata/properties" ma:root="true" ma:fieldsID="2d04308f13ed9ba0080881c4c321fbf7" ns2:_="" ns3:_="">
    <xsd:import namespace="e1079154-68e0-41d7-bbe3-a931de08df9e"/>
    <xsd:import namespace="05c4e442-bf41-4caf-8651-6c522c44ff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079154-68e0-41d7-bbe3-a931de08df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f6e492a-e056-43c8-8d6f-c933f8bbd9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4e442-bf41-4caf-8651-6c522c44ff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d96e38e-a496-407a-942c-ef8ae448c853}" ma:internalName="TaxCatchAll" ma:showField="CatchAllData" ma:web="05c4e442-bf41-4caf-8651-6c522c44f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7738AE-71E7-4350-B173-884298141C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466EA5-DE47-407F-8FB1-18E3C62F97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079154-68e0-41d7-bbe3-a931de08df9e"/>
    <ds:schemaRef ds:uri="05c4e442-bf41-4caf-8651-6c522c44ff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Generator Details</vt:lpstr>
      <vt:lpstr>FlatRun</vt:lpstr>
      <vt:lpstr>Branch_Trips_SH</vt:lpstr>
      <vt:lpstr>Branch_Trips_SL2</vt:lpstr>
      <vt:lpstr>Branch_Trips_SL1</vt:lpstr>
      <vt:lpstr>52513_Vref</vt:lpstr>
      <vt:lpstr>52513_Qref</vt:lpstr>
      <vt:lpstr>52513_PFref</vt:lpstr>
      <vt:lpstr>CSR_TOV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Kearney</dc:creator>
  <cp:lastModifiedBy>Jared Geere</cp:lastModifiedBy>
  <dcterms:created xsi:type="dcterms:W3CDTF">2023-12-02T05:19:01Z</dcterms:created>
  <dcterms:modified xsi:type="dcterms:W3CDTF">2025-01-03T07:48:56Z</dcterms:modified>
</cp:coreProperties>
</file>