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idlink0.sharepoint.com/sites/Projects/Shared Documents/Enzen/CGBESS/02_Deliverables/028 R1 Package/10 Characteristic Plots/"/>
    </mc:Choice>
  </mc:AlternateContent>
  <xr:revisionPtr revIDLastSave="19" documentId="8_{FA8EB162-4B82-4218-A960-162F499A52E7}" xr6:coauthVersionLast="47" xr6:coauthVersionMax="47" xr10:uidLastSave="{E77A8D60-C94E-4669-B982-215DC62EA9C9}"/>
  <bookViews>
    <workbookView xWindow="-38520" yWindow="30" windowWidth="38640" windowHeight="21120" activeTab="5" xr2:uid="{1023DA22-C340-4732-B9A5-BB0DEA351BCB}"/>
  </bookViews>
  <sheets>
    <sheet name="Inverter diqdv" sheetId="1" r:id="rId1"/>
    <sheet name="Frequency Droop" sheetId="2" r:id="rId2"/>
    <sheet name="Voltage Droop" sheetId="3" r:id="rId3"/>
    <sheet name="Voltage Protection" sheetId="4" r:id="rId4"/>
    <sheet name="Frequency Protection" sheetId="5" r:id="rId5"/>
    <sheet name="Inverter_Q(u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7" l="1"/>
  <c r="G9" i="7"/>
  <c r="G8" i="7"/>
  <c r="G7" i="7"/>
  <c r="G2" i="7"/>
  <c r="G3" i="7"/>
  <c r="G6" i="7"/>
  <c r="G4" i="7"/>
  <c r="G5" i="7"/>
  <c r="A32" i="2" l="1"/>
  <c r="F21" i="1"/>
  <c r="F20" i="1"/>
  <c r="F15" i="1"/>
  <c r="F14" i="1"/>
  <c r="G19" i="1"/>
  <c r="C4" i="1"/>
  <c r="C7" i="1"/>
  <c r="C6" i="1"/>
  <c r="C5" i="1"/>
  <c r="D49" i="5"/>
  <c r="E49" i="5"/>
  <c r="D51" i="5"/>
  <c r="E51" i="5"/>
  <c r="D52" i="5"/>
  <c r="E52" i="5"/>
  <c r="D53" i="5"/>
  <c r="E53" i="5"/>
  <c r="D54" i="5"/>
  <c r="E54" i="5"/>
  <c r="E48" i="5"/>
  <c r="D48" i="5"/>
  <c r="B49" i="5"/>
  <c r="B51" i="5"/>
  <c r="B52" i="5"/>
  <c r="B53" i="5"/>
  <c r="B54" i="5"/>
  <c r="B48" i="5"/>
  <c r="A49" i="5"/>
  <c r="A51" i="5"/>
  <c r="A52" i="5"/>
  <c r="A53" i="5"/>
  <c r="A54" i="5"/>
  <c r="A48" i="5"/>
  <c r="E13" i="2"/>
  <c r="E12" i="2"/>
  <c r="F63" i="4"/>
  <c r="F62" i="4"/>
  <c r="F60" i="4"/>
  <c r="F58" i="4"/>
  <c r="F56" i="4"/>
  <c r="F61" i="4"/>
  <c r="F59" i="4"/>
  <c r="F57" i="4"/>
  <c r="F55" i="4"/>
  <c r="C62" i="4"/>
  <c r="B62" i="4"/>
  <c r="C60" i="4"/>
  <c r="B60" i="4"/>
  <c r="C58" i="4"/>
  <c r="B58" i="4"/>
  <c r="C56" i="4"/>
  <c r="B56" i="4"/>
  <c r="C63" i="4"/>
  <c r="C61" i="4"/>
  <c r="C59" i="4"/>
  <c r="C57" i="4"/>
  <c r="C55" i="4"/>
  <c r="E55" i="4"/>
  <c r="E57" i="4"/>
  <c r="E59" i="4"/>
  <c r="E61" i="4"/>
  <c r="E63" i="4"/>
  <c r="B63" i="4"/>
  <c r="B61" i="4"/>
  <c r="B59" i="4"/>
  <c r="B57" i="4"/>
  <c r="B55" i="4"/>
  <c r="E8" i="3"/>
  <c r="E9" i="3"/>
  <c r="E10" i="3"/>
  <c r="E11" i="3"/>
  <c r="E7" i="3"/>
  <c r="E3" i="3"/>
  <c r="E4" i="3"/>
  <c r="E5" i="3"/>
  <c r="E6" i="3"/>
  <c r="E2" i="3"/>
  <c r="E31" i="2"/>
  <c r="E27" i="2"/>
  <c r="E28" i="2"/>
  <c r="E29" i="2"/>
  <c r="E30" i="2"/>
  <c r="E32" i="2"/>
  <c r="E33" i="2"/>
  <c r="E26" i="2"/>
  <c r="D3" i="3" l="1"/>
  <c r="D4" i="3"/>
  <c r="D5" i="3"/>
  <c r="D6" i="3"/>
  <c r="D7" i="3"/>
  <c r="D8" i="3"/>
  <c r="D9" i="3"/>
  <c r="D10" i="3"/>
  <c r="D11" i="3"/>
  <c r="D2" i="3"/>
  <c r="H43" i="2" l="1"/>
  <c r="B19" i="2"/>
  <c r="F44" i="2"/>
  <c r="F43" i="2"/>
  <c r="G40" i="2"/>
  <c r="C27" i="2"/>
  <c r="C28" i="2"/>
  <c r="C29" i="2"/>
  <c r="C30" i="2"/>
  <c r="C31" i="2"/>
  <c r="C32" i="2"/>
  <c r="C33" i="2"/>
  <c r="C26" i="2"/>
  <c r="A31" i="2"/>
  <c r="B22" i="2"/>
  <c r="A22" i="2"/>
  <c r="A27" i="2"/>
  <c r="B18" i="2"/>
  <c r="B17" i="2"/>
  <c r="D38" i="5"/>
  <c r="D39" i="5"/>
  <c r="D40" i="5"/>
  <c r="D41" i="5"/>
  <c r="D42" i="5"/>
  <c r="D37" i="5"/>
  <c r="A38" i="5"/>
  <c r="A39" i="5"/>
  <c r="A40" i="5"/>
  <c r="A41" i="5"/>
  <c r="A42" i="5"/>
  <c r="A37" i="5"/>
  <c r="E45" i="4" l="1"/>
  <c r="E46" i="4"/>
  <c r="E47" i="4"/>
  <c r="E48" i="4"/>
  <c r="E44" i="4"/>
  <c r="A45" i="4"/>
  <c r="A46" i="4"/>
  <c r="A47" i="4"/>
  <c r="A48" i="4"/>
  <c r="A44" i="4"/>
</calcChain>
</file>

<file path=xl/sharedStrings.xml><?xml version="1.0" encoding="utf-8"?>
<sst xmlns="http://schemas.openxmlformats.org/spreadsheetml/2006/main" count="139" uniqueCount="118">
  <si>
    <t>below 44 trip in 0 seconds</t>
  </si>
  <si>
    <t>below 45 trip in 0 seconds</t>
  </si>
  <si>
    <t>above 56 trip in 0 seconds</t>
  </si>
  <si>
    <t>above 55 trip in 0 seconds</t>
  </si>
  <si>
    <t>above 54 trip in 60 seconds</t>
  </si>
  <si>
    <t>above 53 trip in 60 seconds</t>
  </si>
  <si>
    <t>above 1.7 trip in 0.00166</t>
  </si>
  <si>
    <t>above 1.4 trip in 0.003</t>
  </si>
  <si>
    <t>above 1.3 trip in 0.02</t>
  </si>
  <si>
    <t>above 1.25 trip in 1</t>
  </si>
  <si>
    <t>above 1.2 trip in 60</t>
  </si>
  <si>
    <t>below 0.8 trip in 60 seconds</t>
  </si>
  <si>
    <t>below 0.7 trip in 60 seconds</t>
  </si>
  <si>
    <t>below 0.5 trip in 60 seconds</t>
  </si>
  <si>
    <t>below 0.3 trip in 60 seconds</t>
  </si>
  <si>
    <t>below 0.1 trip in 60 seconds</t>
  </si>
  <si>
    <t>Time (s)</t>
  </si>
  <si>
    <t>Voltage (pu)</t>
  </si>
  <si>
    <t>Freq (Hz)</t>
  </si>
  <si>
    <t>PSSE</t>
  </si>
  <si>
    <t>PSCAD</t>
  </si>
  <si>
    <t>Time (ms)</t>
  </si>
  <si>
    <t>Time(ms)</t>
  </si>
  <si>
    <t>below 47 trip in 60 seconds</t>
  </si>
  <si>
    <t>below 46 trip in 60 seconds</t>
  </si>
  <si>
    <t>Reactive Power (%)</t>
  </si>
  <si>
    <t xml:space="preserve">dyr files </t>
  </si>
  <si>
    <t>Calculations</t>
  </si>
  <si>
    <t>100% change in P</t>
  </si>
  <si>
    <t xml:space="preserve">Delta frequency </t>
  </si>
  <si>
    <t>freq (delta Hz)</t>
  </si>
  <si>
    <t>deadband</t>
  </si>
  <si>
    <t>active power % (delta)</t>
  </si>
  <si>
    <t>active power (MW)</t>
  </si>
  <si>
    <t>Pmax</t>
  </si>
  <si>
    <t xml:space="preserve">FCAS droop </t>
  </si>
  <si>
    <t>FrqOffsets1 = -6                     #Frequency Offsets to the nominal frequency to define the droop curve in Hz (need to be increasing) $13453$</t>
  </si>
  <si>
    <t>FrqOffsets2 = -4.985                  #Frequency Offsets to the nominal frequency to define the droop curve in Hz (need to be increasing) $13454$</t>
  </si>
  <si>
    <t>FrqOffsets3 = -2.5                   #Frequency Offsets to the nominal frequency to define the droop curve in Hz (need to be increasing) $13455$</t>
  </si>
  <si>
    <t>FrqOffsets4 = -0.015                    #Frequency Offsets to the nominal frequency to define the droop curve in Hz (need to be increasing) $13456$</t>
  </si>
  <si>
    <t>FrqOffsets5 =  0                    #Frequency Offsets to the nominal frequency to define the droop curve in Hz (need to be increasing) $13457$</t>
  </si>
  <si>
    <t>FrqOffsets6 =  0.015                    #Frequency Offsets to the nominal frequency to define the droop curve in Hz (need to be increasing) $13458$</t>
  </si>
  <si>
    <t>FrqOffsets7 =  2.5                    #Frequency Offsets to the nominal frequency to define the droop curve in Hz (need to be increasing) $13459$</t>
  </si>
  <si>
    <t>FrqOffsets8 =  4.985                   #Frequency Offsets to the nominal frequency to define the droop curve in Hz (need to be increasing) $13460$</t>
  </si>
  <si>
    <t>FrqOffsets9 =  6                    #Frequency Offsets to the nominal frequency to define the droop curve in Hz (need to be increasing) $13461$</t>
  </si>
  <si>
    <t>FrqOffsets10 = 7                    #Frequency Offsets to the nominal frequency to define the droop curve in Hz (need to be increasing) $13462$</t>
  </si>
  <si>
    <t>FrqRecoverOffsets1 = -0.015           #Frequency Offsets to the nominal frequency to define the recovery thresholds $13464$</t>
  </si>
  <si>
    <t>FrqRecoverOffsets2 = 0.015            #Frequency Offsets to the nominal frequency to define the recovery thresholds $13465$</t>
  </si>
  <si>
    <t>PwrAtDataPc1 = 200                    #The active power data corresponding to the frequency offsets in % relative to PwrAtNomPoi $13476$</t>
  </si>
  <si>
    <t>PwrAtDataPc2 = 200                       #The active power data corresponding to the frequency offsets in % relative to PwrAtNomPoi $13477$</t>
  </si>
  <si>
    <t>PwrAtDataPc3 = 100                     #The active power data corresponding to the frequency offsets in % relative to PwrAtNomPoi $13478$</t>
  </si>
  <si>
    <t>PwrAtDataPc4 = 0                  #The active power data corresponding to the frequency offsets in % relative to PwrAtNomPoi $13479$</t>
  </si>
  <si>
    <t>PwrAtDataPc5 = 0                  #The active power data corresponding to the frequency offsets in % relative to PwrAtNomPoi $13480$</t>
  </si>
  <si>
    <t>PwrAtDataPc6 = 0                    #The active power data corresponding to the frequency offsets in % relative to PwrAtNomPoi $13481$</t>
  </si>
  <si>
    <t>In SMA Hycon PSCAD</t>
  </si>
  <si>
    <t>This is how much active power will change for 51Hz</t>
  </si>
  <si>
    <t>PwrAtDataPc7 = -100                   #The active power data corresponding to the frequency offsets in % relative to PwrAtNomPoi $13482$</t>
  </si>
  <si>
    <t>PwrAtDataPc8 = -200                   #The active power data corresponding to the frequency offsets in % relative to PwrAtNomPoi $13483$</t>
  </si>
  <si>
    <t>PwrAtDataPc9 = -200                   #The active power data corresponding to the frequency offsets in % relative to PwrAtNomPoi $13484$</t>
  </si>
  <si>
    <t>PwrAtDataPc10 = -200                  #The active power data corresponding to the frequency offsets in % relative to PwrAtNomPoi $13485$</t>
  </si>
  <si>
    <t>y=24.144869x-1207.605634</t>
  </si>
  <si>
    <t>Equation of Line: Increase in Hz</t>
  </si>
  <si>
    <t>Time(s)</t>
  </si>
  <si>
    <t xml:space="preserve">Note: Column A and B are the values inputted in both pscad config and psse </t>
  </si>
  <si>
    <t>Frequency (Hz)</t>
  </si>
  <si>
    <t>Reactive Power (MVAr)</t>
  </si>
  <si>
    <t>GriMng_InvVArMod</t>
  </si>
  <si>
    <t>VArCtlVol_LoVolRef3</t>
  </si>
  <si>
    <t>VArCtlVol_LoVolRef2</t>
  </si>
  <si>
    <t>VArCtlVol_HiVolRef2</t>
  </si>
  <si>
    <t>VArCtlVol_HiVolRef3</t>
  </si>
  <si>
    <t>VArCtlVol_LoGra3</t>
  </si>
  <si>
    <t>VArCtlVol_LoGra2</t>
  </si>
  <si>
    <t>VArCtlVol_LoGra1</t>
  </si>
  <si>
    <t>VArCtlVol_HiGra1</t>
  </si>
  <si>
    <t>VArCtlVol_HiGra2</t>
  </si>
  <si>
    <t>VArCtlVol_HiGra3</t>
  </si>
  <si>
    <t>VArCtlVol_VArSptFilTm</t>
  </si>
  <si>
    <t>VArCtlVol_LoVolRef1</t>
  </si>
  <si>
    <t>VArCtlVol_HiVolRef1</t>
  </si>
  <si>
    <t>GRIMNG_INVVARMOD_VARCTLVOL</t>
  </si>
  <si>
    <t>VArCtlVol_VolNomSptMod</t>
  </si>
  <si>
    <t>VOLNOMSPTMOD_INVMS_VOLPSNOM</t>
  </si>
  <si>
    <t>VArCtlVol_VolNomSptInit</t>
  </si>
  <si>
    <t>Qnom/Snom</t>
  </si>
  <si>
    <t>U/Unom</t>
  </si>
  <si>
    <t>Voltage</t>
  </si>
  <si>
    <t>LVRT Table For Plotting</t>
  </si>
  <si>
    <t>HVRT Table For Plotting</t>
  </si>
  <si>
    <t>LFRT Table For Plotting</t>
  </si>
  <si>
    <t>HFRT Table For Plotting</t>
  </si>
  <si>
    <t>FRTDbVolMaxHyst</t>
  </si>
  <si>
    <t>FRTDbVolMax</t>
  </si>
  <si>
    <t>FRTDbVolMinHyst</t>
  </si>
  <si>
    <t>FRTDbVolMin</t>
  </si>
  <si>
    <t>Frt_LoGra1</t>
  </si>
  <si>
    <t>Frt_LoGra2</t>
  </si>
  <si>
    <t>Frt_LoGra3</t>
  </si>
  <si>
    <t>Frt_LoVolRef1</t>
  </si>
  <si>
    <t>Frt_LoVolRef2</t>
  </si>
  <si>
    <t>Frt_LoVolRef3</t>
  </si>
  <si>
    <t>Frt_HiVolRef1</t>
  </si>
  <si>
    <t>Frt_HiVolRef2</t>
  </si>
  <si>
    <t>Frt_HiVolRef3</t>
  </si>
  <si>
    <t>Frt_HiGra1</t>
  </si>
  <si>
    <t>Frt_HiGra2</t>
  </si>
  <si>
    <t>Frt_HiGra3</t>
  </si>
  <si>
    <t>HVRT Entry</t>
  </si>
  <si>
    <t>HVRT Exit</t>
  </si>
  <si>
    <t>LVRT Entry</t>
  </si>
  <si>
    <t>LVRT Exit</t>
  </si>
  <si>
    <t>Table For Plotting</t>
  </si>
  <si>
    <t>Iq (pu)</t>
  </si>
  <si>
    <t>LVRT Eqn</t>
  </si>
  <si>
    <t>Iq=-3.5x + 2.905</t>
  </si>
  <si>
    <t>HVRT Eqn</t>
  </si>
  <si>
    <t>Iq = -5.8x +6.67</t>
  </si>
  <si>
    <t>Inverter Terminal Voltage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</si>
</sst>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0" fillId="2" borderId="9" xfId="0" applyFill="1" applyBorder="1" applyAlignment="1">
      <alignment vertical="center" wrapText="1"/>
    </xf>
    <xf numFmtId="0" fontId="0" fillId="3" borderId="0" xfId="0" applyFill="1"/>
    <xf numFmtId="0" fontId="0" fillId="2" borderId="0" xfId="0" applyFill="1"/>
    <xf numFmtId="0" fontId="0" fillId="0" borderId="9" xfId="0" applyBorder="1"/>
    <xf numFmtId="0" fontId="2" fillId="0" borderId="0" xfId="0" applyFont="1"/>
    <xf numFmtId="0" fontId="0" fillId="4" borderId="9" xfId="0" applyFill="1" applyBorder="1"/>
    <xf numFmtId="0" fontId="0" fillId="4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0" xfId="0" applyNumberFormat="1"/>
  </cellXfs>
  <cellStyles count="1">
    <cellStyle name="Normal" xfId="0" builtinId="0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Inverter DiqDv Characteristic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>
        <c:manualLayout>
          <c:layoutTarget val="inner"/>
          <c:xMode val="edge"/>
          <c:yMode val="edge"/>
          <c:x val="9.7822291596797548E-2"/>
          <c:y val="0.1194524959742351"/>
          <c:w val="0.86959573361696552"/>
          <c:h val="0.77360695855047101"/>
        </c:manualLayout>
      </c:layout>
      <c:scatterChart>
        <c:scatterStyle val="lineMarker"/>
        <c:varyColors val="0"/>
        <c:ser>
          <c:idx val="0"/>
          <c:order val="0"/>
          <c:tx>
            <c:v>Inverter DiqDv Characteristic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93-46B5-A747-AD0F5419A60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93-46B5-A747-AD0F5419A60C}"/>
                </c:ext>
              </c:extLst>
            </c:dLbl>
            <c:dLbl>
              <c:idx val="3"/>
              <c:layout>
                <c:manualLayout>
                  <c:x val="-3.0775690253255536E-2"/>
                  <c:y val="-4.98953935105938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93-46B5-A747-AD0F5419A60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93-46B5-A747-AD0F5419A60C}"/>
                </c:ext>
              </c:extLst>
            </c:dLbl>
            <c:dLbl>
              <c:idx val="5"/>
              <c:layout>
                <c:manualLayout>
                  <c:x val="1.9859775642868765E-2"/>
                  <c:y val="-4.023355776180145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93-46B5-A747-AD0F5419A60C}"/>
                </c:ext>
              </c:extLst>
            </c:dLbl>
            <c:dLbl>
              <c:idx val="6"/>
              <c:layout>
                <c:manualLayout>
                  <c:x val="-0.16006649776932533"/>
                  <c:y val="6.282602355864937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93-46B5-A747-AD0F5419A60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93-46B5-A747-AD0F5419A60C}"/>
                </c:ext>
              </c:extLst>
            </c:dLbl>
            <c:dLbl>
              <c:idx val="8"/>
              <c:layout>
                <c:manualLayout>
                  <c:x val="-6.1931069826799611E-3"/>
                  <c:y val="-4.345416967806560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93-46B5-A747-AD0F5419A60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93-46B5-A747-AD0F5419A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'Inverter diqdv'!$F$13:$F$22</c:f>
              <c:numCache>
                <c:formatCode>General</c:formatCode>
                <c:ptCount val="10"/>
                <c:pt idx="0">
                  <c:v>0</c:v>
                </c:pt>
                <c:pt idx="1">
                  <c:v>0.26</c:v>
                </c:pt>
                <c:pt idx="2">
                  <c:v>0.54</c:v>
                </c:pt>
                <c:pt idx="3">
                  <c:v>0.83</c:v>
                </c:pt>
                <c:pt idx="4">
                  <c:v>1.1499999999999999</c:v>
                </c:pt>
                <c:pt idx="5">
                  <c:v>1.19</c:v>
                </c:pt>
                <c:pt idx="6">
                  <c:v>1.19</c:v>
                </c:pt>
                <c:pt idx="7">
                  <c:v>1.32</c:v>
                </c:pt>
                <c:pt idx="8">
                  <c:v>1.49</c:v>
                </c:pt>
                <c:pt idx="9">
                  <c:v>1.8</c:v>
                </c:pt>
              </c:numCache>
            </c:numRef>
          </c:xVal>
          <c:yVal>
            <c:numRef>
              <c:f>'Inverter diqdv'!$G$13:$G$22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-0.23199999999999932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3-46B5-A747-AD0F5419A6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5380640"/>
        <c:axId val="1425379200"/>
      </c:scatterChart>
      <c:valAx>
        <c:axId val="1425380640"/>
        <c:scaling>
          <c:orientation val="minMax"/>
          <c:max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/>
                  <a:t>Change</a:t>
                </a:r>
                <a:r>
                  <a:rPr lang="en-AU" sz="1100" b="1" baseline="0"/>
                  <a:t> in </a:t>
                </a:r>
                <a:r>
                  <a:rPr lang="en-AU" sz="1100" b="1"/>
                  <a:t>Inverter Terminal Voltage (pu)</a:t>
                </a:r>
              </a:p>
            </c:rich>
          </c:tx>
          <c:layout>
            <c:manualLayout>
              <c:xMode val="edge"/>
              <c:yMode val="edge"/>
              <c:x val="0.37204247551916303"/>
              <c:y val="0.9220449617710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79200"/>
        <c:crosses val="autoZero"/>
        <c:crossBetween val="midCat"/>
      </c:valAx>
      <c:valAx>
        <c:axId val="14253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/>
                  <a:t>Additional Iq (pu)</a:t>
                </a:r>
              </a:p>
            </c:rich>
          </c:tx>
          <c:layout>
            <c:manualLayout>
              <c:xMode val="edge"/>
              <c:yMode val="edge"/>
              <c:x val="1.7089546413875775E-2"/>
              <c:y val="0.3550803251042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Droop Characteristic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43032981291826E-2"/>
          <c:y val="9.6419025442064418E-2"/>
          <c:w val="0.90716829661744813"/>
          <c:h val="0.799363160323037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 Droop'!$C$25</c:f>
              <c:strCache>
                <c:ptCount val="1"/>
                <c:pt idx="0">
                  <c:v>active power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Droop'!$A$26:$A$33</c:f>
              <c:numCache>
                <c:formatCode>General</c:formatCode>
                <c:ptCount val="8"/>
                <c:pt idx="0">
                  <c:v>6</c:v>
                </c:pt>
                <c:pt idx="1">
                  <c:v>4.9850000000000136</c:v>
                </c:pt>
                <c:pt idx="2">
                  <c:v>1.4999999999999999E-2</c:v>
                </c:pt>
                <c:pt idx="3">
                  <c:v>0</c:v>
                </c:pt>
                <c:pt idx="4">
                  <c:v>-1.4999999999999999E-2</c:v>
                </c:pt>
                <c:pt idx="5">
                  <c:v>-2.5000000000000071</c:v>
                </c:pt>
                <c:pt idx="6">
                  <c:v>-4.9850000000000136</c:v>
                </c:pt>
                <c:pt idx="7">
                  <c:v>-6</c:v>
                </c:pt>
              </c:numCache>
            </c:numRef>
          </c:xVal>
          <c:yVal>
            <c:numRef>
              <c:f>'Frequency Droop'!$C$26:$C$33</c:f>
              <c:numCache>
                <c:formatCode>General</c:formatCode>
                <c:ptCount val="8"/>
                <c:pt idx="0">
                  <c:v>-120</c:v>
                </c:pt>
                <c:pt idx="1">
                  <c:v>-120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120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2-4223-A140-0E02B3C8C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57135"/>
        <c:axId val="358657615"/>
      </c:scatterChart>
      <c:valAx>
        <c:axId val="358657135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Change in Frequency</a:t>
                </a:r>
                <a:r>
                  <a:rPr lang="en-AU" sz="1400" baseline="0"/>
                  <a:t> (Hz)</a:t>
                </a:r>
                <a:endParaRPr lang="en-AU" sz="1400"/>
              </a:p>
            </c:rich>
          </c:tx>
          <c:layout>
            <c:manualLayout>
              <c:xMode val="edge"/>
              <c:yMode val="edge"/>
              <c:x val="0.41436085233533976"/>
              <c:y val="0.92437774467215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615"/>
        <c:crosses val="autoZero"/>
        <c:crossBetween val="midCat"/>
      </c:valAx>
      <c:valAx>
        <c:axId val="3586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Change in  </a:t>
                </a:r>
                <a:r>
                  <a:rPr lang="en-AU" sz="1400" baseline="0"/>
                  <a:t>Active Power (MW)</a:t>
                </a:r>
                <a:endParaRPr lang="en-AU" sz="1400"/>
              </a:p>
            </c:rich>
          </c:tx>
          <c:layout>
            <c:manualLayout>
              <c:xMode val="edge"/>
              <c:yMode val="edge"/>
              <c:x val="1.9417473254150643E-2"/>
              <c:y val="0.25405854290787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Droop Characteristic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43032981291826E-2"/>
          <c:y val="9.6419025442064418E-2"/>
          <c:w val="0.90716829661744813"/>
          <c:h val="0.799363160323037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 Droop'!$B$25</c:f>
              <c:strCache>
                <c:ptCount val="1"/>
                <c:pt idx="0">
                  <c:v>active power % (delta)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Droop'!$A$26:$A$33</c:f>
              <c:numCache>
                <c:formatCode>General</c:formatCode>
                <c:ptCount val="8"/>
                <c:pt idx="0">
                  <c:v>6</c:v>
                </c:pt>
                <c:pt idx="1">
                  <c:v>4.9850000000000136</c:v>
                </c:pt>
                <c:pt idx="2">
                  <c:v>1.4999999999999999E-2</c:v>
                </c:pt>
                <c:pt idx="3">
                  <c:v>0</c:v>
                </c:pt>
                <c:pt idx="4">
                  <c:v>-1.4999999999999999E-2</c:v>
                </c:pt>
                <c:pt idx="5">
                  <c:v>-2.5000000000000071</c:v>
                </c:pt>
                <c:pt idx="6">
                  <c:v>-4.9850000000000136</c:v>
                </c:pt>
                <c:pt idx="7">
                  <c:v>-6</c:v>
                </c:pt>
              </c:numCache>
            </c:numRef>
          </c:xVal>
          <c:yVal>
            <c:numRef>
              <c:f>'Frequency Droop'!$B$26:$B$33</c:f>
              <c:numCache>
                <c:formatCode>General</c:formatCode>
                <c:ptCount val="8"/>
                <c:pt idx="0">
                  <c:v>-200</c:v>
                </c:pt>
                <c:pt idx="1">
                  <c:v>-200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1-471F-9BF6-2A1EB633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57135"/>
        <c:axId val="358657615"/>
      </c:scatterChart>
      <c:valAx>
        <c:axId val="35865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Change in Frequency</a:t>
                </a:r>
                <a:r>
                  <a:rPr lang="en-AU" sz="1400" baseline="0"/>
                  <a:t> (Hz)</a:t>
                </a:r>
                <a:endParaRPr lang="en-AU" sz="1400"/>
              </a:p>
            </c:rich>
          </c:tx>
          <c:layout>
            <c:manualLayout>
              <c:xMode val="edge"/>
              <c:yMode val="edge"/>
              <c:x val="0.41436085233533976"/>
              <c:y val="0.92437774467215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615"/>
        <c:crosses val="autoZero"/>
        <c:crossBetween val="midCat"/>
      </c:valAx>
      <c:valAx>
        <c:axId val="3586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Change</a:t>
                </a:r>
                <a:r>
                  <a:rPr lang="en-AU" sz="1400" baseline="0"/>
                  <a:t> in Active Power (%)</a:t>
                </a:r>
                <a:endParaRPr lang="en-AU" sz="1400"/>
              </a:p>
            </c:rich>
          </c:tx>
          <c:layout>
            <c:manualLayout>
              <c:xMode val="edge"/>
              <c:yMode val="edge"/>
              <c:x val="1.9417473254150643E-2"/>
              <c:y val="0.25405854290787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 Droop Characteristic </a:t>
            </a:r>
          </a:p>
        </c:rich>
      </c:tx>
      <c:layout>
        <c:manualLayout>
          <c:xMode val="edge"/>
          <c:yMode val="edge"/>
          <c:x val="0.37476987447698745"/>
          <c:y val="3.0203756443567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36874993136299E-2"/>
          <c:y val="0.12355853365122589"/>
          <c:w val="0.88115057270560848"/>
          <c:h val="0.752593380937941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'Voltage Droop'!$A$2:$A$11</c:f>
              <c:numCache>
                <c:formatCode>General</c:formatCode>
                <c:ptCount val="10"/>
                <c:pt idx="0">
                  <c:v>-0.13</c:v>
                </c:pt>
                <c:pt idx="1">
                  <c:v>-0.12</c:v>
                </c:pt>
                <c:pt idx="2">
                  <c:v>-0.11</c:v>
                </c:pt>
                <c:pt idx="3">
                  <c:v>-0.04</c:v>
                </c:pt>
                <c:pt idx="4">
                  <c:v>-0.02</c:v>
                </c:pt>
                <c:pt idx="5">
                  <c:v>0.02</c:v>
                </c:pt>
                <c:pt idx="6">
                  <c:v>0.04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</c:numCache>
            </c:numRef>
          </c:xVal>
          <c:yVal>
            <c:numRef>
              <c:f>'Voltage Droop'!$D$2:$D$11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3-47B7-9825-D5093519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98335"/>
        <c:axId val="2004195935"/>
      </c:scatterChart>
      <c:valAx>
        <c:axId val="2004198335"/>
        <c:scaling>
          <c:orientation val="minMax"/>
          <c:max val="4.0000000000000008E-2"/>
          <c:min val="-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AU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Verror at POC (pu)</a:t>
                </a:r>
              </a:p>
            </c:rich>
          </c:tx>
          <c:layout>
            <c:manualLayout>
              <c:xMode val="edge"/>
              <c:yMode val="edge"/>
              <c:x val="0.46445260764998519"/>
              <c:y val="0.9139066101436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AU"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95935"/>
        <c:crosses val="autoZero"/>
        <c:crossBetween val="midCat"/>
      </c:valAx>
      <c:valAx>
        <c:axId val="2004195935"/>
        <c:scaling>
          <c:orientation val="minMax"/>
          <c:max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AU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Reactive Power (%)</a:t>
                </a:r>
              </a:p>
            </c:rich>
          </c:tx>
          <c:layout>
            <c:manualLayout>
              <c:xMode val="edge"/>
              <c:yMode val="edge"/>
              <c:x val="1.1157601115760111E-2"/>
              <c:y val="0.31038957692940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AU"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98335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 Droop Characteristic </a:t>
            </a:r>
          </a:p>
        </c:rich>
      </c:tx>
      <c:layout>
        <c:manualLayout>
          <c:xMode val="edge"/>
          <c:yMode val="edge"/>
          <c:x val="0.37476987447698745"/>
          <c:y val="3.0203756443567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36874993136299E-2"/>
          <c:y val="0.12355853365122589"/>
          <c:w val="0.88115057270560848"/>
          <c:h val="0.752593380937941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'Voltage Droop'!$A$2:$A$11</c:f>
              <c:numCache>
                <c:formatCode>General</c:formatCode>
                <c:ptCount val="10"/>
                <c:pt idx="0">
                  <c:v>-0.13</c:v>
                </c:pt>
                <c:pt idx="1">
                  <c:v>-0.12</c:v>
                </c:pt>
                <c:pt idx="2">
                  <c:v>-0.11</c:v>
                </c:pt>
                <c:pt idx="3">
                  <c:v>-0.04</c:v>
                </c:pt>
                <c:pt idx="4">
                  <c:v>-0.02</c:v>
                </c:pt>
                <c:pt idx="5">
                  <c:v>0.02</c:v>
                </c:pt>
                <c:pt idx="6">
                  <c:v>0.04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</c:numCache>
            </c:numRef>
          </c:xVal>
          <c:yVal>
            <c:numRef>
              <c:f>'Voltage Droop'!$E$2:$E$11</c:f>
              <c:numCache>
                <c:formatCode>General</c:formatCode>
                <c:ptCount val="10"/>
                <c:pt idx="0">
                  <c:v>23.7</c:v>
                </c:pt>
                <c:pt idx="1">
                  <c:v>23.7</c:v>
                </c:pt>
                <c:pt idx="2">
                  <c:v>23.7</c:v>
                </c:pt>
                <c:pt idx="3">
                  <c:v>23.7</c:v>
                </c:pt>
                <c:pt idx="4">
                  <c:v>23.7</c:v>
                </c:pt>
                <c:pt idx="5">
                  <c:v>-23.7</c:v>
                </c:pt>
                <c:pt idx="6">
                  <c:v>-23.7</c:v>
                </c:pt>
                <c:pt idx="7">
                  <c:v>-23.7</c:v>
                </c:pt>
                <c:pt idx="8">
                  <c:v>-23.7</c:v>
                </c:pt>
                <c:pt idx="9">
                  <c:v>-23.7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1-4F90-AF0A-D31AB174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98335"/>
        <c:axId val="2004195935"/>
      </c:scatterChart>
      <c:valAx>
        <c:axId val="2004198335"/>
        <c:scaling>
          <c:orientation val="minMax"/>
          <c:max val="4.0000000000000008E-2"/>
          <c:min val="-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Verror</a:t>
                </a:r>
                <a:r>
                  <a:rPr lang="en-AU" sz="1600" baseline="0">
                    <a:solidFill>
                      <a:sysClr val="windowText" lastClr="000000"/>
                    </a:solidFill>
                  </a:rPr>
                  <a:t> at POC (pu)</a:t>
                </a:r>
                <a:endParaRPr lang="en-AU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445260764998519"/>
              <c:y val="0.9139066101436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95935"/>
        <c:crosses val="autoZero"/>
        <c:crossBetween val="midCat"/>
      </c:valAx>
      <c:valAx>
        <c:axId val="2004195935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Reactive Power (MVAr)</a:t>
                </a:r>
              </a:p>
            </c:rich>
          </c:tx>
          <c:layout>
            <c:manualLayout>
              <c:xMode val="edge"/>
              <c:yMode val="edge"/>
              <c:x val="1.1157601115760111E-2"/>
              <c:y val="0.31038957692940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983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Inverter Voltage Protection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Protection'!$B$51</c:f>
              <c:strCache>
                <c:ptCount val="1"/>
                <c:pt idx="0">
                  <c:v>LVRT Table For Plotting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432614534812393E-2"/>
                  <c:y val="-3.0817184200344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13-4AE1-B0D3-13169AF54066}"/>
                </c:ext>
              </c:extLst>
            </c:dLbl>
            <c:dLbl>
              <c:idx val="4"/>
              <c:layout>
                <c:manualLayout>
                  <c:x val="-5.4465560982464259E-2"/>
                  <c:y val="-2.835033323854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13-4AE1-B0D3-13169AF54066}"/>
                </c:ext>
              </c:extLst>
            </c:dLbl>
            <c:dLbl>
              <c:idx val="6"/>
              <c:layout>
                <c:manualLayout>
                  <c:x val="-5.9535268799634236E-2"/>
                  <c:y val="-1.84829293913443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13-4AE1-B0D3-13169AF54066}"/>
                </c:ext>
              </c:extLst>
            </c:dLbl>
            <c:dLbl>
              <c:idx val="8"/>
              <c:layout>
                <c:manualLayout>
                  <c:x val="-7.8124197462591277E-2"/>
                  <c:y val="-2.5883482276744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13-4AE1-B0D3-13169AF540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'Voltage Protection'!$C$54:$C$64</c:f>
              <c:numCache>
                <c:formatCode>General</c:formatCode>
                <c:ptCount val="11"/>
                <c:pt idx="0">
                  <c:v>1.66E-3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100</c:v>
                </c:pt>
              </c:numCache>
            </c:numRef>
          </c:xVal>
          <c:yVal>
            <c:numRef>
              <c:f>'Voltage Protection'!$B$54:$B$64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13-4AE1-B0D3-13169AF54066}"/>
            </c:ext>
          </c:extLst>
        </c:ser>
        <c:ser>
          <c:idx val="1"/>
          <c:order val="1"/>
          <c:tx>
            <c:strRef>
              <c:f>'Voltage Protection'!$E$51</c:f>
              <c:strCache>
                <c:ptCount val="1"/>
                <c:pt idx="0">
                  <c:v>HVRT Table For Plotting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1085755771017524E-2"/>
                  <c:y val="2.83872388828545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13-4AE1-B0D3-13169AF54066}"/>
                </c:ext>
              </c:extLst>
            </c:dLbl>
            <c:dLbl>
              <c:idx val="3"/>
              <c:layout>
                <c:manualLayout>
                  <c:x val="2.2796786151208226E-2"/>
                  <c:y val="-3.8217737085743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13-4AE1-B0D3-13169AF54066}"/>
                </c:ext>
              </c:extLst>
            </c:dLbl>
            <c:dLbl>
              <c:idx val="5"/>
              <c:layout>
                <c:manualLayout>
                  <c:x val="-4.7705950559570665E-2"/>
                  <c:y val="2.0986685997454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13-4AE1-B0D3-13169AF54066}"/>
                </c:ext>
              </c:extLst>
            </c:dLbl>
            <c:dLbl>
              <c:idx val="7"/>
              <c:layout>
                <c:manualLayout>
                  <c:x val="-4.7705950559570678E-2"/>
                  <c:y val="4.3188344653654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13-4AE1-B0D3-13169AF540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'Voltage Protection'!$F$54:$F$64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1</c:v>
                </c:pt>
                <c:pt idx="4">
                  <c:v>1</c:v>
                </c:pt>
                <c:pt idx="5">
                  <c:v>0.02</c:v>
                </c:pt>
                <c:pt idx="6">
                  <c:v>0.02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1.66E-3</c:v>
                </c:pt>
                <c:pt idx="10">
                  <c:v>1.66E-3</c:v>
                </c:pt>
              </c:numCache>
            </c:numRef>
          </c:xVal>
          <c:yVal>
            <c:numRef>
              <c:f>'Voltage Protection'!$E$54:$E$64</c:f>
              <c:numCache>
                <c:formatCode>General</c:formatCode>
                <c:ptCount val="11"/>
                <c:pt idx="0">
                  <c:v>1.2</c:v>
                </c:pt>
                <c:pt idx="1">
                  <c:v>1.2</c:v>
                </c:pt>
                <c:pt idx="2">
                  <c:v>1.25</c:v>
                </c:pt>
                <c:pt idx="3">
                  <c:v>1.25</c:v>
                </c:pt>
                <c:pt idx="4">
                  <c:v>1.3</c:v>
                </c:pt>
                <c:pt idx="5">
                  <c:v>1.3</c:v>
                </c:pt>
                <c:pt idx="6">
                  <c:v>1.4</c:v>
                </c:pt>
                <c:pt idx="7">
                  <c:v>1.4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13-4AE1-B0D3-13169AF540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91199247"/>
        <c:axId val="1491196847"/>
      </c:scatterChart>
      <c:valAx>
        <c:axId val="1491199247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96847"/>
        <c:crosses val="autoZero"/>
        <c:crossBetween val="midCat"/>
      </c:valAx>
      <c:valAx>
        <c:axId val="14911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/>
                  <a:t>Voltage</a:t>
                </a:r>
                <a:r>
                  <a:rPr lang="en-AU" sz="1100" b="1" baseline="0"/>
                  <a:t> (pu)</a:t>
                </a:r>
                <a:endParaRPr lang="en-AU" sz="1100" b="1"/>
              </a:p>
            </c:rich>
          </c:tx>
          <c:layout>
            <c:manualLayout>
              <c:xMode val="edge"/>
              <c:yMode val="edge"/>
              <c:x val="6.7596104228934695E-3"/>
              <c:y val="0.39466138488624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Inverter Frequency Protection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02390604021312E-2"/>
          <c:y val="0.12247639582578813"/>
          <c:w val="0.88237271904412518"/>
          <c:h val="0.76464028325410138"/>
        </c:manualLayout>
      </c:layout>
      <c:scatterChart>
        <c:scatterStyle val="lineMarker"/>
        <c:varyColors val="0"/>
        <c:ser>
          <c:idx val="0"/>
          <c:order val="0"/>
          <c:tx>
            <c:v>HFRT Protection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5F-432A-8C0F-64B0948CE0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5F-432A-8C0F-64B0948CE0B1}"/>
                </c:ext>
              </c:extLst>
            </c:dLbl>
            <c:dLbl>
              <c:idx val="2"/>
              <c:layout>
                <c:manualLayout>
                  <c:x val="-5.5797460939239055E-2"/>
                  <c:y val="4.9681968821353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5F-432A-8C0F-64B0948CE0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5F-432A-8C0F-64B0948CE0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5F-432A-8C0F-64B0948CE0B1}"/>
                </c:ext>
              </c:extLst>
            </c:dLbl>
            <c:dLbl>
              <c:idx val="5"/>
              <c:layout>
                <c:manualLayout>
                  <c:x val="-5.0734170472883422E-2"/>
                  <c:y val="2.42138058299232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F5F-432A-8C0F-64B0948CE0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5F-432A-8C0F-64B0948CE0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F5F-432A-8C0F-64B0948CE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'Frequency Protection'!$A$48:$A$55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'Frequency Protection'!$B$48:$B$55</c:f>
              <c:numCache>
                <c:formatCode>General</c:formatCode>
                <c:ptCount val="8"/>
                <c:pt idx="0">
                  <c:v>56</c:v>
                </c:pt>
                <c:pt idx="1">
                  <c:v>55</c:v>
                </c:pt>
                <c:pt idx="2">
                  <c:v>55</c:v>
                </c:pt>
                <c:pt idx="3">
                  <c:v>54</c:v>
                </c:pt>
                <c:pt idx="4">
                  <c:v>54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F-432A-8C0F-64B0948CE0B1}"/>
            </c:ext>
          </c:extLst>
        </c:ser>
        <c:ser>
          <c:idx val="1"/>
          <c:order val="1"/>
          <c:tx>
            <c:v>LFRT Protection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5F-432A-8C0F-64B0948CE0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5F-432A-8C0F-64B0948CE0B1}"/>
                </c:ext>
              </c:extLst>
            </c:dLbl>
            <c:dLbl>
              <c:idx val="2"/>
              <c:layout>
                <c:manualLayout>
                  <c:x val="-7.2675095827091155E-2"/>
                  <c:y val="-3.6909785349509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5F-432A-8C0F-64B0948CE0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5F-432A-8C0F-64B0948CE0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5F-432A-8C0F-64B0948CE0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5F-432A-8C0F-64B0948CE0B1}"/>
                </c:ext>
              </c:extLst>
            </c:dLbl>
            <c:dLbl>
              <c:idx val="6"/>
              <c:layout>
                <c:manualLayout>
                  <c:x val="-3.3856535585031322E-2"/>
                  <c:y val="-3.1816152751223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5F-432A-8C0F-64B0948CE0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5F-432A-8C0F-64B0948CE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'Frequency Protection'!$D$48:$D$55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'Frequency Protection'!$E$48:$E$55</c:f>
              <c:numCache>
                <c:formatCode>General</c:formatCode>
                <c:ptCount val="8"/>
                <c:pt idx="0">
                  <c:v>44</c:v>
                </c:pt>
                <c:pt idx="1">
                  <c:v>45</c:v>
                </c:pt>
                <c:pt idx="2">
                  <c:v>45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47</c:v>
                </c:pt>
                <c:pt idx="7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F-432A-8C0F-64B0948CE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2905744"/>
        <c:axId val="73329439"/>
      </c:scatterChart>
      <c:valAx>
        <c:axId val="45290574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46144237862488741"/>
              <c:y val="0.93326057861259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9439"/>
        <c:crosses val="autoZero"/>
        <c:crossBetween val="midCat"/>
      </c:valAx>
      <c:valAx>
        <c:axId val="73329439"/>
        <c:scaling>
          <c:orientation val="minMax"/>
          <c:min val="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1"/>
                  <a:t>Frequency</a:t>
                </a:r>
                <a:r>
                  <a:rPr lang="en-AU" sz="1600" b="1" baseline="0"/>
                  <a:t> (Hz)</a:t>
                </a:r>
                <a:endParaRPr lang="en-AU" sz="1600" b="1"/>
              </a:p>
            </c:rich>
          </c:tx>
          <c:layout>
            <c:manualLayout>
              <c:xMode val="edge"/>
              <c:yMode val="edge"/>
              <c:x val="1.0126580932711262E-2"/>
              <c:y val="0.33061345384787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057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Inverter Level</a:t>
            </a:r>
            <a:br>
              <a:rPr lang="en-US"/>
            </a:br>
            <a:r>
              <a:rPr lang="en-US"/>
              <a:t>Voltage Dependent Reactive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8279681689889"/>
          <c:y val="0.12799150981201143"/>
          <c:w val="0.86484931985379132"/>
          <c:h val="0.7927898215519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'Inverter_Q(u)'!$G$1</c:f>
              <c:strCache>
                <c:ptCount val="1"/>
                <c:pt idx="0">
                  <c:v>Qnom/Snom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'Inverter_Q(u)'!$F$2:$F$10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1.2</c:v>
                </c:pt>
                <c:pt idx="7">
                  <c:v>1.4</c:v>
                </c:pt>
                <c:pt idx="8">
                  <c:v>2</c:v>
                </c:pt>
              </c:numCache>
            </c:numRef>
          </c:xVal>
          <c:yVal>
            <c:numRef>
              <c:f>'Inverter_Q(u)'!$G$2:$G$10</c:f>
              <c:numCache>
                <c:formatCode>General</c:formatCode>
                <c:ptCount val="9"/>
                <c:pt idx="0">
                  <c:v>1.5</c:v>
                </c:pt>
                <c:pt idx="1">
                  <c:v>0.60000000000000009</c:v>
                </c:pt>
                <c:pt idx="2">
                  <c:v>0.29999999999999993</c:v>
                </c:pt>
                <c:pt idx="3">
                  <c:v>7.5000000000000067E-2</c:v>
                </c:pt>
                <c:pt idx="4">
                  <c:v>0</c:v>
                </c:pt>
                <c:pt idx="5">
                  <c:v>-6.0000000000000053E-2</c:v>
                </c:pt>
                <c:pt idx="6">
                  <c:v>-0.23999999999999994</c:v>
                </c:pt>
                <c:pt idx="7">
                  <c:v>-0.47999999999999987</c:v>
                </c:pt>
                <c:pt idx="8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B-49E3-8451-611F6D7B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95151"/>
        <c:axId val="1667222399"/>
      </c:scatterChart>
      <c:valAx>
        <c:axId val="520995151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U/Unom (pu)</a:t>
                </a:r>
              </a:p>
            </c:rich>
          </c:tx>
          <c:layout>
            <c:manualLayout>
              <c:xMode val="edge"/>
              <c:yMode val="edge"/>
              <c:x val="0.49574144658903857"/>
              <c:y val="0.93473630021110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22399"/>
        <c:crosses val="autoZero"/>
        <c:crossBetween val="midCat"/>
      </c:valAx>
      <c:valAx>
        <c:axId val="1667222399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AU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Additional Reactive Power (Qnom/Snom)</a:t>
                </a:r>
              </a:p>
            </c:rich>
          </c:tx>
          <c:layout>
            <c:manualLayout>
              <c:xMode val="edge"/>
              <c:yMode val="edge"/>
              <c:x val="1.8789036958253878E-2"/>
              <c:y val="0.15708486602882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AU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9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91108</xdr:colOff>
      <xdr:row>2</xdr:row>
      <xdr:rowOff>140804</xdr:rowOff>
    </xdr:from>
    <xdr:to>
      <xdr:col>19</xdr:col>
      <xdr:colOff>483099</xdr:colOff>
      <xdr:row>23</xdr:row>
      <xdr:rowOff>67089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B66D7-6C6B-4CA4-BCF2-C28087E5F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236219</xdr:colOff>
      <xdr:row>5</xdr:row>
      <xdr:rowOff>172401</xdr:rowOff>
    </xdr:from>
    <xdr:to>
      <xdr:col>20</xdr:col>
      <xdr:colOff>160020</xdr:colOff>
      <xdr:row>31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8C32B-084B-F8CF-0452-96920632F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246489</xdr:colOff>
      <xdr:row>31</xdr:row>
      <xdr:rowOff>25207</xdr:rowOff>
    </xdr:from>
    <xdr:to>
      <xdr:col>20</xdr:col>
      <xdr:colOff>172298</xdr:colOff>
      <xdr:row>56</xdr:row>
      <xdr:rowOff>146176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675FF-F089-457C-8C23-B63A5FF40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161364</xdr:colOff>
      <xdr:row>1</xdr:row>
      <xdr:rowOff>153799</xdr:rowOff>
    </xdr:from>
    <xdr:to>
      <xdr:col>23</xdr:col>
      <xdr:colOff>190500</xdr:colOff>
      <xdr:row>28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FA1C2-1268-EBB9-618A-1AB56B1CD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168089</xdr:colOff>
      <xdr:row>3</xdr:row>
      <xdr:rowOff>112058</xdr:rowOff>
    </xdr:from>
    <xdr:to>
      <xdr:col>38</xdr:col>
      <xdr:colOff>197224</xdr:colOff>
      <xdr:row>30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CF3210-A8DD-4DA6-91CD-F237CE1BB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100764</xdr:colOff>
      <xdr:row>3</xdr:row>
      <xdr:rowOff>100853</xdr:rowOff>
    </xdr:from>
    <xdr:to>
      <xdr:col>6</xdr:col>
      <xdr:colOff>1275171</xdr:colOff>
      <xdr:row>30</xdr:row>
      <xdr:rowOff>187308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5AAB87-85AA-DD57-47BF-2A39D4D0C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64" y="672353"/>
          <a:ext cx="7506750" cy="5229955"/>
        </a:xfrm>
        <a:prstGeom prst="rect">
          <a:avLst/>
        </a:prstGeom>
      </xdr:spPr>
    </xdr:pic>
    <xdr:clientData/>
  </xdr:twoCellAnchor>
  <xdr:twoCellAnchor>
    <xdr:from>
      <xdr:col>6</xdr:col>
      <xdr:colOff>419099</xdr:colOff>
      <xdr:row>51</xdr:row>
      <xdr:rowOff>61911</xdr:rowOff>
    </xdr:from>
    <xdr:to>
      <xdr:col>17</xdr:col>
      <xdr:colOff>123825</xdr:colOff>
      <xdr:row>78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F78C7A-9F05-B587-B14F-57FA0E72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258632</xdr:colOff>
      <xdr:row>0</xdr:row>
      <xdr:rowOff>81131</xdr:rowOff>
    </xdr:from>
    <xdr:to>
      <xdr:col>8</xdr:col>
      <xdr:colOff>505506</xdr:colOff>
      <xdr:row>22</xdr:row>
      <xdr:rowOff>43611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E33506-EE90-6FF8-5E37-140FC1CF2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632" y="81131"/>
          <a:ext cx="8904540" cy="4104174"/>
        </a:xfrm>
        <a:prstGeom prst="rect">
          <a:avLst/>
        </a:prstGeom>
      </xdr:spPr>
    </xdr:pic>
    <xdr:clientData/>
  </xdr:twoCellAnchor>
  <xdr:twoCellAnchor>
    <xdr:from>
      <xdr:col>6</xdr:col>
      <xdr:colOff>677954</xdr:colOff>
      <xdr:row>33</xdr:row>
      <xdr:rowOff>100854</xdr:rowOff>
    </xdr:from>
    <xdr:to>
      <xdr:col>17</xdr:col>
      <xdr:colOff>549088</xdr:colOff>
      <xdr:row>59</xdr:row>
      <xdr:rowOff>134472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45455-7462-9352-BEEC-9E5DAE10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22</xdr:col>
      <xdr:colOff>397808</xdr:colOff>
      <xdr:row>26</xdr:row>
      <xdr:rowOff>10087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16C02E1-1F80-40CB-92B7-84E964D4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73FF-3C90-4167-9DA8-54A668F76C4D}">
  <sheetPr>
    <tabColor theme="3" tint="0.89999084444715716"/>
  </sheetPr>
  <dimension ref="B3:G30"/>
  <sheetViews>
    <sheetView showGridLines="0" zoomScale="115" zoomScaleNormal="115" workbookViewId="0">
      <selection activeCell="B24" sqref="B24"/>
    </sheetView>
  </sheetViews>
  <sheetFormatPr defaultRowHeight="15" x14ac:dyDescent="0.25"/>
  <cols>
    <col min="1" max="1" width="22.42578125" bestFit="1" customWidth="1"/>
    <col min="2" max="2" width="16.85546875" bestFit="1" customWidth="1"/>
    <col min="6" max="6" width="27.5703125" bestFit="1" customWidth="1"/>
    <col min="7" max="7" width="17.28515625" customWidth="1"/>
  </cols>
  <sheetData>
    <row r="3" spans="2:7" ht="15.75" thickBot="1" x14ac:dyDescent="0.3"/>
    <row r="4" spans="2:7" x14ac:dyDescent="0.25">
      <c r="B4" s="19" t="s">
        <v>107</v>
      </c>
      <c r="C4" s="22">
        <f>1+C11</f>
        <v>1.19</v>
      </c>
      <c r="F4" t="s">
        <v>113</v>
      </c>
      <c r="G4" t="s">
        <v>114</v>
      </c>
    </row>
    <row r="5" spans="2:7" x14ac:dyDescent="0.25">
      <c r="B5" s="20" t="s">
        <v>108</v>
      </c>
      <c r="C5" s="23">
        <f>1+C10</f>
        <v>1.1599999999999999</v>
      </c>
      <c r="F5" t="s">
        <v>115</v>
      </c>
      <c r="G5" t="s">
        <v>116</v>
      </c>
    </row>
    <row r="6" spans="2:7" x14ac:dyDescent="0.25">
      <c r="B6" s="20" t="s">
        <v>109</v>
      </c>
      <c r="C6" s="23">
        <f>1-C14</f>
        <v>0.83</v>
      </c>
    </row>
    <row r="7" spans="2:7" ht="15.75" thickBot="1" x14ac:dyDescent="0.3">
      <c r="B7" s="21" t="s">
        <v>110</v>
      </c>
      <c r="C7" s="24">
        <f>1-C13</f>
        <v>0.86</v>
      </c>
    </row>
    <row r="10" spans="2:7" x14ac:dyDescent="0.25">
      <c r="B10" s="15" t="s">
        <v>91</v>
      </c>
      <c r="C10" s="15">
        <v>0.16</v>
      </c>
      <c r="F10" s="9" t="s">
        <v>111</v>
      </c>
    </row>
    <row r="11" spans="2:7" x14ac:dyDescent="0.25">
      <c r="B11" s="15" t="s">
        <v>92</v>
      </c>
      <c r="C11" s="15">
        <v>0.19</v>
      </c>
    </row>
    <row r="12" spans="2:7" x14ac:dyDescent="0.25">
      <c r="B12" s="15"/>
      <c r="C12" s="15"/>
      <c r="F12" s="15" t="s">
        <v>117</v>
      </c>
      <c r="G12" s="15" t="s">
        <v>112</v>
      </c>
    </row>
    <row r="13" spans="2:7" x14ac:dyDescent="0.25">
      <c r="B13" s="15" t="s">
        <v>93</v>
      </c>
      <c r="C13" s="15">
        <v>0.14000000000000001</v>
      </c>
      <c r="F13" s="15">
        <v>0</v>
      </c>
      <c r="G13" s="15">
        <v>2</v>
      </c>
    </row>
    <row r="14" spans="2:7" x14ac:dyDescent="0.25">
      <c r="B14" s="15" t="s">
        <v>94</v>
      </c>
      <c r="C14" s="15">
        <v>0.17</v>
      </c>
      <c r="F14" s="15">
        <f>ROUND((G14-2.905)/(-3.5),2)</f>
        <v>0.26</v>
      </c>
      <c r="G14" s="15">
        <v>2</v>
      </c>
    </row>
    <row r="15" spans="2:7" x14ac:dyDescent="0.25">
      <c r="B15" s="15"/>
      <c r="C15" s="15"/>
      <c r="F15" s="15">
        <f>ROUND((G15-2.905)/(-3.5),2)</f>
        <v>0.54</v>
      </c>
      <c r="G15" s="15">
        <v>1</v>
      </c>
    </row>
    <row r="16" spans="2:7" x14ac:dyDescent="0.25">
      <c r="B16" s="15" t="s">
        <v>95</v>
      </c>
      <c r="C16" s="15">
        <v>0</v>
      </c>
      <c r="F16" s="15">
        <v>0.83</v>
      </c>
      <c r="G16" s="15">
        <v>0</v>
      </c>
    </row>
    <row r="17" spans="2:7" x14ac:dyDescent="0.25">
      <c r="B17" s="15" t="s">
        <v>96</v>
      </c>
      <c r="C17" s="15">
        <v>3.5</v>
      </c>
      <c r="F17" s="15">
        <v>1.1499999999999999</v>
      </c>
      <c r="G17" s="15">
        <v>0</v>
      </c>
    </row>
    <row r="18" spans="2:7" x14ac:dyDescent="0.25">
      <c r="B18" s="15" t="s">
        <v>97</v>
      </c>
      <c r="C18" s="15">
        <v>3.5</v>
      </c>
      <c r="F18" s="15">
        <v>1.19</v>
      </c>
      <c r="G18" s="15">
        <v>0</v>
      </c>
    </row>
    <row r="19" spans="2:7" x14ac:dyDescent="0.25">
      <c r="B19" s="15"/>
      <c r="C19" s="15"/>
      <c r="F19" s="15">
        <v>1.19</v>
      </c>
      <c r="G19" s="15">
        <f>(-5.8*F19 + 6.67)</f>
        <v>-0.23199999999999932</v>
      </c>
    </row>
    <row r="20" spans="2:7" x14ac:dyDescent="0.25">
      <c r="B20" s="15" t="s">
        <v>98</v>
      </c>
      <c r="C20" s="15">
        <v>1</v>
      </c>
      <c r="F20" s="15">
        <f>ROUND((G20-6.67)/-5.8,2)</f>
        <v>1.32</v>
      </c>
      <c r="G20" s="15">
        <v>-1</v>
      </c>
    </row>
    <row r="21" spans="2:7" x14ac:dyDescent="0.25">
      <c r="B21" s="15" t="s">
        <v>99</v>
      </c>
      <c r="C21" s="15">
        <v>0.83</v>
      </c>
      <c r="F21" s="15">
        <f>ROUND((G21-6.67)/-5.8,2)</f>
        <v>1.49</v>
      </c>
      <c r="G21" s="15">
        <v>-2</v>
      </c>
    </row>
    <row r="22" spans="2:7" x14ac:dyDescent="0.25">
      <c r="B22" s="15" t="s">
        <v>100</v>
      </c>
      <c r="C22" s="15">
        <v>0</v>
      </c>
      <c r="F22" s="15">
        <v>1.8</v>
      </c>
      <c r="G22" s="15">
        <v>-2</v>
      </c>
    </row>
    <row r="23" spans="2:7" x14ac:dyDescent="0.25">
      <c r="B23" s="15"/>
      <c r="C23" s="15"/>
    </row>
    <row r="24" spans="2:7" x14ac:dyDescent="0.25">
      <c r="B24" s="15" t="s">
        <v>104</v>
      </c>
      <c r="C24" s="15">
        <v>0</v>
      </c>
    </row>
    <row r="25" spans="2:7" x14ac:dyDescent="0.25">
      <c r="B25" s="15" t="s">
        <v>105</v>
      </c>
      <c r="C25" s="15">
        <v>5.8</v>
      </c>
    </row>
    <row r="26" spans="2:7" x14ac:dyDescent="0.25">
      <c r="B26" s="15" t="s">
        <v>106</v>
      </c>
      <c r="C26" s="15">
        <v>5.8</v>
      </c>
      <c r="F26" s="25"/>
    </row>
    <row r="27" spans="2:7" x14ac:dyDescent="0.25">
      <c r="B27" s="15"/>
      <c r="C27" s="15"/>
    </row>
    <row r="28" spans="2:7" x14ac:dyDescent="0.25">
      <c r="B28" s="15" t="s">
        <v>101</v>
      </c>
      <c r="C28" s="15">
        <v>1</v>
      </c>
    </row>
    <row r="29" spans="2:7" x14ac:dyDescent="0.25">
      <c r="B29" s="15" t="s">
        <v>102</v>
      </c>
      <c r="C29" s="15">
        <v>1.1499999999999999</v>
      </c>
    </row>
    <row r="30" spans="2:7" x14ac:dyDescent="0.25">
      <c r="B30" s="15" t="s">
        <v>103</v>
      </c>
      <c r="C30" s="1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3627-B27E-4E83-B1C1-BEAE8571A2E5}">
  <sheetPr>
    <tabColor theme="4" tint="0.59999389629810485"/>
  </sheetPr>
  <dimension ref="A4:W44"/>
  <sheetViews>
    <sheetView showGridLines="0" zoomScale="70" zoomScaleNormal="70" workbookViewId="0">
      <selection activeCell="A25" sqref="A25:A33"/>
    </sheetView>
  </sheetViews>
  <sheetFormatPr defaultRowHeight="15" x14ac:dyDescent="0.25"/>
  <cols>
    <col min="1" max="1" width="16.28515625" bestFit="1" customWidth="1"/>
    <col min="2" max="2" width="15.5703125" bestFit="1" customWidth="1"/>
    <col min="5" max="5" width="46.42578125" bestFit="1" customWidth="1"/>
    <col min="23" max="23" width="124" bestFit="1" customWidth="1"/>
  </cols>
  <sheetData>
    <row r="4" spans="1:23" x14ac:dyDescent="0.25">
      <c r="W4" t="s">
        <v>54</v>
      </c>
    </row>
    <row r="6" spans="1:23" x14ac:dyDescent="0.25">
      <c r="W6" t="s">
        <v>36</v>
      </c>
    </row>
    <row r="7" spans="1:23" x14ac:dyDescent="0.25">
      <c r="W7" t="s">
        <v>37</v>
      </c>
    </row>
    <row r="8" spans="1:23" x14ac:dyDescent="0.25">
      <c r="W8" t="s">
        <v>38</v>
      </c>
    </row>
    <row r="9" spans="1:23" x14ac:dyDescent="0.25">
      <c r="W9" t="s">
        <v>39</v>
      </c>
    </row>
    <row r="10" spans="1:23" x14ac:dyDescent="0.25">
      <c r="W10" t="s">
        <v>40</v>
      </c>
    </row>
    <row r="11" spans="1:23" x14ac:dyDescent="0.25">
      <c r="A11" t="s">
        <v>35</v>
      </c>
      <c r="B11" s="11">
        <v>4.9700000000000001E-2</v>
      </c>
      <c r="W11" t="s">
        <v>41</v>
      </c>
    </row>
    <row r="12" spans="1:23" x14ac:dyDescent="0.25">
      <c r="E12">
        <f>4.97/100</f>
        <v>4.9699999999999994E-2</v>
      </c>
      <c r="W12" t="s">
        <v>42</v>
      </c>
    </row>
    <row r="13" spans="1:23" x14ac:dyDescent="0.25">
      <c r="E13">
        <f>E12*50</f>
        <v>2.4849999999999999</v>
      </c>
      <c r="W13" t="s">
        <v>43</v>
      </c>
    </row>
    <row r="14" spans="1:23" x14ac:dyDescent="0.25">
      <c r="W14" t="s">
        <v>44</v>
      </c>
    </row>
    <row r="15" spans="1:23" x14ac:dyDescent="0.25">
      <c r="A15" t="s">
        <v>27</v>
      </c>
      <c r="W15" t="s">
        <v>45</v>
      </c>
    </row>
    <row r="16" spans="1:23" x14ac:dyDescent="0.25">
      <c r="A16" t="s">
        <v>28</v>
      </c>
      <c r="B16" t="s">
        <v>29</v>
      </c>
      <c r="W16" t="s">
        <v>46</v>
      </c>
    </row>
    <row r="17" spans="1:23" x14ac:dyDescent="0.25">
      <c r="A17" s="10">
        <v>1</v>
      </c>
      <c r="B17">
        <f>50*1.0497-50</f>
        <v>2.4850000000000065</v>
      </c>
      <c r="W17" t="s">
        <v>47</v>
      </c>
    </row>
    <row r="18" spans="1:23" x14ac:dyDescent="0.25">
      <c r="A18" s="10">
        <v>2</v>
      </c>
      <c r="B18">
        <f>B17*2</f>
        <v>4.9700000000000131</v>
      </c>
    </row>
    <row r="19" spans="1:23" x14ac:dyDescent="0.25">
      <c r="A19" s="10">
        <v>0.5</v>
      </c>
      <c r="B19">
        <f>B17/2</f>
        <v>1.2425000000000033</v>
      </c>
      <c r="W19" t="s">
        <v>48</v>
      </c>
    </row>
    <row r="20" spans="1:23" x14ac:dyDescent="0.25">
      <c r="W20" t="s">
        <v>49</v>
      </c>
    </row>
    <row r="21" spans="1:23" x14ac:dyDescent="0.25">
      <c r="A21" t="s">
        <v>31</v>
      </c>
      <c r="W21" t="s">
        <v>50</v>
      </c>
    </row>
    <row r="22" spans="1:23" x14ac:dyDescent="0.25">
      <c r="A22">
        <f>50+0.015</f>
        <v>50.015000000000001</v>
      </c>
      <c r="B22">
        <f>50-0.015</f>
        <v>49.984999999999999</v>
      </c>
      <c r="W22" t="s">
        <v>51</v>
      </c>
    </row>
    <row r="23" spans="1:23" x14ac:dyDescent="0.25">
      <c r="A23" t="s">
        <v>34</v>
      </c>
      <c r="B23">
        <v>60</v>
      </c>
      <c r="W23" t="s">
        <v>52</v>
      </c>
    </row>
    <row r="24" spans="1:23" x14ac:dyDescent="0.25">
      <c r="W24" t="s">
        <v>53</v>
      </c>
    </row>
    <row r="25" spans="1:23" x14ac:dyDescent="0.25">
      <c r="A25" t="s">
        <v>30</v>
      </c>
      <c r="B25" t="s">
        <v>32</v>
      </c>
      <c r="C25" t="s">
        <v>33</v>
      </c>
      <c r="E25" t="s">
        <v>64</v>
      </c>
      <c r="W25" t="s">
        <v>56</v>
      </c>
    </row>
    <row r="26" spans="1:23" x14ac:dyDescent="0.25">
      <c r="A26">
        <v>6</v>
      </c>
      <c r="B26">
        <v>-200</v>
      </c>
      <c r="C26">
        <f>B26%*$B$23</f>
        <v>-120</v>
      </c>
      <c r="E26">
        <f t="shared" ref="E26:E33" si="0">50-A26</f>
        <v>44</v>
      </c>
      <c r="W26" t="s">
        <v>57</v>
      </c>
    </row>
    <row r="27" spans="1:23" x14ac:dyDescent="0.25">
      <c r="A27">
        <f>(50.015+B18)-50</f>
        <v>4.9850000000000136</v>
      </c>
      <c r="B27">
        <v>-200</v>
      </c>
      <c r="C27">
        <f t="shared" ref="C27" si="1">B27%*$B$23</f>
        <v>-120</v>
      </c>
      <c r="E27">
        <f t="shared" si="0"/>
        <v>45.014999999999986</v>
      </c>
      <c r="W27" t="s">
        <v>58</v>
      </c>
    </row>
    <row r="28" spans="1:23" x14ac:dyDescent="0.25">
      <c r="A28">
        <v>1.4999999999999999E-2</v>
      </c>
      <c r="B28">
        <v>0</v>
      </c>
      <c r="C28">
        <f t="shared" ref="C28:C33" si="2">B28%*$B$23</f>
        <v>0</v>
      </c>
      <c r="E28">
        <f t="shared" si="0"/>
        <v>49.984999999999999</v>
      </c>
      <c r="W28" t="s">
        <v>59</v>
      </c>
    </row>
    <row r="29" spans="1:23" x14ac:dyDescent="0.25">
      <c r="A29">
        <v>0</v>
      </c>
      <c r="B29">
        <v>0</v>
      </c>
      <c r="C29">
        <f t="shared" si="2"/>
        <v>0</v>
      </c>
      <c r="E29">
        <f t="shared" si="0"/>
        <v>50</v>
      </c>
    </row>
    <row r="30" spans="1:23" x14ac:dyDescent="0.25">
      <c r="A30">
        <v>-1.4999999999999999E-2</v>
      </c>
      <c r="B30">
        <v>0</v>
      </c>
      <c r="C30">
        <f t="shared" si="2"/>
        <v>0</v>
      </c>
      <c r="E30">
        <f t="shared" si="0"/>
        <v>50.015000000000001</v>
      </c>
    </row>
    <row r="31" spans="1:23" x14ac:dyDescent="0.25">
      <c r="A31">
        <f>(B22-B17)-50</f>
        <v>-2.5000000000000071</v>
      </c>
      <c r="B31">
        <v>100</v>
      </c>
      <c r="C31">
        <f t="shared" si="2"/>
        <v>60</v>
      </c>
      <c r="E31">
        <f t="shared" si="0"/>
        <v>52.500000000000007</v>
      </c>
    </row>
    <row r="32" spans="1:23" x14ac:dyDescent="0.25">
      <c r="A32">
        <f>B22-B18-50</f>
        <v>-4.9850000000000136</v>
      </c>
      <c r="B32">
        <v>200</v>
      </c>
      <c r="C32">
        <f t="shared" si="2"/>
        <v>120</v>
      </c>
      <c r="E32">
        <f t="shared" si="0"/>
        <v>54.985000000000014</v>
      </c>
    </row>
    <row r="33" spans="1:8" x14ac:dyDescent="0.25">
      <c r="A33">
        <v>-6</v>
      </c>
      <c r="B33">
        <v>200</v>
      </c>
      <c r="C33">
        <f t="shared" si="2"/>
        <v>120</v>
      </c>
      <c r="E33">
        <f t="shared" si="0"/>
        <v>56</v>
      </c>
    </row>
    <row r="37" spans="1:8" x14ac:dyDescent="0.25">
      <c r="A37" s="9" t="s">
        <v>61</v>
      </c>
    </row>
    <row r="38" spans="1:8" x14ac:dyDescent="0.25">
      <c r="A38" t="s">
        <v>60</v>
      </c>
    </row>
    <row r="40" spans="1:8" x14ac:dyDescent="0.25">
      <c r="G40">
        <f>(120-60)/(54.985-52.5)</f>
        <v>24.144869215291756</v>
      </c>
    </row>
    <row r="43" spans="1:8" x14ac:dyDescent="0.25">
      <c r="F43">
        <f>60-(G40*52.5)</f>
        <v>-1207.6056338028172</v>
      </c>
      <c r="H43">
        <f>F44/60</f>
        <v>0.39637826961770389</v>
      </c>
    </row>
    <row r="44" spans="1:8" x14ac:dyDescent="0.25">
      <c r="E44" t="s">
        <v>55</v>
      </c>
      <c r="F44">
        <f>G40*51+F43</f>
        <v>23.782696177062235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B749-2DE0-4D0E-810F-2D92602AE1B4}">
  <sheetPr>
    <tabColor theme="5" tint="0.79998168889431442"/>
  </sheetPr>
  <dimension ref="A1:E16"/>
  <sheetViews>
    <sheetView showGridLines="0" topLeftCell="B1" zoomScale="85" zoomScaleNormal="85" workbookViewId="0">
      <selection activeCell="R31" sqref="R31"/>
    </sheetView>
  </sheetViews>
  <sheetFormatPr defaultRowHeight="15" x14ac:dyDescent="0.25"/>
  <cols>
    <col min="1" max="1" width="19.5703125" customWidth="1"/>
    <col min="2" max="2" width="18" customWidth="1"/>
    <col min="4" max="4" width="17.85546875" bestFit="1" customWidth="1"/>
  </cols>
  <sheetData>
    <row r="1" spans="1:5" x14ac:dyDescent="0.25">
      <c r="A1" t="s">
        <v>17</v>
      </c>
      <c r="B1" t="s">
        <v>25</v>
      </c>
      <c r="D1" t="s">
        <v>25</v>
      </c>
      <c r="E1" t="s">
        <v>65</v>
      </c>
    </row>
    <row r="2" spans="1:5" x14ac:dyDescent="0.25">
      <c r="A2">
        <v>-0.13</v>
      </c>
      <c r="B2">
        <v>200</v>
      </c>
      <c r="D2">
        <f>MAX(MIN(B2,100),-100)</f>
        <v>100</v>
      </c>
      <c r="E2">
        <f>23.7*D2/D2</f>
        <v>23.7</v>
      </c>
    </row>
    <row r="3" spans="1:5" x14ac:dyDescent="0.25">
      <c r="A3">
        <v>-0.12</v>
      </c>
      <c r="B3">
        <v>200</v>
      </c>
      <c r="D3">
        <f t="shared" ref="D3:D11" si="0">MAX(MIN(B3,100),-100)</f>
        <v>100</v>
      </c>
      <c r="E3">
        <f t="shared" ref="E3:E6" si="1">23.7*D3/D3</f>
        <v>23.7</v>
      </c>
    </row>
    <row r="4" spans="1:5" x14ac:dyDescent="0.25">
      <c r="A4">
        <v>-0.11</v>
      </c>
      <c r="B4">
        <v>200</v>
      </c>
      <c r="D4">
        <f t="shared" si="0"/>
        <v>100</v>
      </c>
      <c r="E4">
        <f t="shared" si="1"/>
        <v>23.7</v>
      </c>
    </row>
    <row r="5" spans="1:5" x14ac:dyDescent="0.25">
      <c r="A5">
        <v>-0.04</v>
      </c>
      <c r="B5">
        <v>200</v>
      </c>
      <c r="D5">
        <f t="shared" si="0"/>
        <v>100</v>
      </c>
      <c r="E5">
        <f t="shared" si="1"/>
        <v>23.7</v>
      </c>
    </row>
    <row r="6" spans="1:5" x14ac:dyDescent="0.25">
      <c r="A6">
        <v>-0.02</v>
      </c>
      <c r="B6">
        <v>100</v>
      </c>
      <c r="D6">
        <f t="shared" si="0"/>
        <v>100</v>
      </c>
      <c r="E6">
        <f t="shared" si="1"/>
        <v>23.7</v>
      </c>
    </row>
    <row r="7" spans="1:5" x14ac:dyDescent="0.25">
      <c r="A7">
        <v>0.02</v>
      </c>
      <c r="B7">
        <v>-100</v>
      </c>
      <c r="D7">
        <f t="shared" si="0"/>
        <v>-100</v>
      </c>
      <c r="E7">
        <f>-23.7*D7/D7</f>
        <v>-23.7</v>
      </c>
    </row>
    <row r="8" spans="1:5" x14ac:dyDescent="0.25">
      <c r="A8">
        <v>0.04</v>
      </c>
      <c r="B8">
        <v>-200</v>
      </c>
      <c r="D8">
        <f t="shared" si="0"/>
        <v>-100</v>
      </c>
      <c r="E8">
        <f t="shared" ref="E8:E11" si="2">-23.7*D8/D8</f>
        <v>-23.7</v>
      </c>
    </row>
    <row r="9" spans="1:5" x14ac:dyDescent="0.25">
      <c r="A9">
        <v>0.11</v>
      </c>
      <c r="B9">
        <v>-200</v>
      </c>
      <c r="D9">
        <f t="shared" si="0"/>
        <v>-100</v>
      </c>
      <c r="E9">
        <f t="shared" si="2"/>
        <v>-23.7</v>
      </c>
    </row>
    <row r="10" spans="1:5" x14ac:dyDescent="0.25">
      <c r="A10">
        <v>0.12</v>
      </c>
      <c r="B10">
        <v>-200</v>
      </c>
      <c r="D10">
        <f t="shared" si="0"/>
        <v>-100</v>
      </c>
      <c r="E10">
        <f t="shared" si="2"/>
        <v>-23.7</v>
      </c>
    </row>
    <row r="11" spans="1:5" x14ac:dyDescent="0.25">
      <c r="A11">
        <v>0.13</v>
      </c>
      <c r="B11">
        <v>-200</v>
      </c>
      <c r="D11">
        <f t="shared" si="0"/>
        <v>-100</v>
      </c>
      <c r="E11">
        <f t="shared" si="2"/>
        <v>-23.7</v>
      </c>
    </row>
    <row r="15" spans="1:5" x14ac:dyDescent="0.25">
      <c r="A15" s="9" t="s">
        <v>63</v>
      </c>
    </row>
    <row r="16" spans="1:5" x14ac:dyDescent="0.25">
      <c r="A16" s="9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633C-118B-4046-A94D-651C512C03B6}">
  <sheetPr>
    <tabColor theme="5" tint="0.59999389629810485"/>
  </sheetPr>
  <dimension ref="A33:K64"/>
  <sheetViews>
    <sheetView topLeftCell="A28" zoomScaleNormal="100" workbookViewId="0">
      <selection activeCell="E35" sqref="E35:F39"/>
    </sheetView>
  </sheetViews>
  <sheetFormatPr defaultRowHeight="15" x14ac:dyDescent="0.25"/>
  <cols>
    <col min="2" max="2" width="21.140625" bestFit="1" customWidth="1"/>
    <col min="3" max="3" width="22.28515625" bestFit="1" customWidth="1"/>
    <col min="5" max="5" width="21.7109375" bestFit="1" customWidth="1"/>
    <col min="6" max="6" width="11.7109375" bestFit="1" customWidth="1"/>
    <col min="7" max="7" width="25.7109375" bestFit="1" customWidth="1"/>
  </cols>
  <sheetData>
    <row r="33" spans="1:11" x14ac:dyDescent="0.25">
      <c r="A33" s="8" t="s">
        <v>19</v>
      </c>
      <c r="B33" s="1"/>
      <c r="C33" s="1"/>
      <c r="D33" s="1"/>
      <c r="E33" s="1"/>
      <c r="F33" s="1"/>
      <c r="G33" s="2"/>
    </row>
    <row r="34" spans="1:11" x14ac:dyDescent="0.25">
      <c r="A34" s="3" t="s">
        <v>16</v>
      </c>
      <c r="B34" t="s">
        <v>17</v>
      </c>
      <c r="E34" t="s">
        <v>16</v>
      </c>
      <c r="F34" t="s">
        <v>17</v>
      </c>
      <c r="G34" s="4"/>
    </row>
    <row r="35" spans="1:11" x14ac:dyDescent="0.25">
      <c r="A35" s="3">
        <v>1.66E-3</v>
      </c>
      <c r="B35">
        <v>1.7</v>
      </c>
      <c r="C35" t="s">
        <v>6</v>
      </c>
      <c r="E35">
        <v>60</v>
      </c>
      <c r="F35">
        <v>0.8</v>
      </c>
      <c r="G35" s="4" t="s">
        <v>11</v>
      </c>
    </row>
    <row r="36" spans="1:11" x14ac:dyDescent="0.25">
      <c r="A36" s="3">
        <v>3.0000000000000001E-3</v>
      </c>
      <c r="B36">
        <v>1.4</v>
      </c>
      <c r="C36" t="s">
        <v>7</v>
      </c>
      <c r="E36">
        <v>60</v>
      </c>
      <c r="F36">
        <v>0.7</v>
      </c>
      <c r="G36" s="4" t="s">
        <v>12</v>
      </c>
    </row>
    <row r="37" spans="1:11" x14ac:dyDescent="0.25">
      <c r="A37" s="3">
        <v>0.02</v>
      </c>
      <c r="B37">
        <v>1.3</v>
      </c>
      <c r="C37" t="s">
        <v>8</v>
      </c>
      <c r="E37">
        <v>60</v>
      </c>
      <c r="F37">
        <v>0.5</v>
      </c>
      <c r="G37" s="4" t="s">
        <v>13</v>
      </c>
      <c r="K37" s="3"/>
    </row>
    <row r="38" spans="1:11" x14ac:dyDescent="0.25">
      <c r="A38" s="3">
        <v>1</v>
      </c>
      <c r="B38">
        <v>1.25</v>
      </c>
      <c r="C38" t="s">
        <v>9</v>
      </c>
      <c r="E38">
        <v>60</v>
      </c>
      <c r="F38">
        <v>0.3</v>
      </c>
      <c r="G38" s="4" t="s">
        <v>14</v>
      </c>
    </row>
    <row r="39" spans="1:11" x14ac:dyDescent="0.25">
      <c r="A39" s="3">
        <v>60</v>
      </c>
      <c r="B39">
        <v>1.2</v>
      </c>
      <c r="C39" t="s">
        <v>10</v>
      </c>
      <c r="E39">
        <v>60</v>
      </c>
      <c r="F39">
        <v>0.1</v>
      </c>
      <c r="G39" s="4" t="s">
        <v>15</v>
      </c>
    </row>
    <row r="40" spans="1:11" x14ac:dyDescent="0.25">
      <c r="A40" s="5"/>
      <c r="B40" s="6"/>
      <c r="C40" s="6"/>
      <c r="D40" s="6"/>
      <c r="E40" s="6"/>
      <c r="F40" s="6"/>
      <c r="G40" s="7"/>
    </row>
    <row r="42" spans="1:11" x14ac:dyDescent="0.25">
      <c r="A42" s="9" t="s">
        <v>20</v>
      </c>
    </row>
    <row r="43" spans="1:11" x14ac:dyDescent="0.25">
      <c r="A43" t="s">
        <v>21</v>
      </c>
      <c r="B43" t="s">
        <v>17</v>
      </c>
      <c r="E43" t="s">
        <v>22</v>
      </c>
      <c r="F43" t="s">
        <v>17</v>
      </c>
    </row>
    <row r="44" spans="1:11" x14ac:dyDescent="0.25">
      <c r="A44">
        <f>A35*1000</f>
        <v>1.66</v>
      </c>
      <c r="B44">
        <v>1.7</v>
      </c>
      <c r="E44">
        <f>E35*1000</f>
        <v>60000</v>
      </c>
      <c r="F44">
        <v>0.8</v>
      </c>
    </row>
    <row r="45" spans="1:11" x14ac:dyDescent="0.25">
      <c r="A45">
        <f t="shared" ref="A45:A48" si="0">A36*1000</f>
        <v>3</v>
      </c>
      <c r="B45">
        <v>1.4</v>
      </c>
      <c r="E45">
        <f t="shared" ref="E45:E48" si="1">E36*1000</f>
        <v>60000</v>
      </c>
      <c r="F45">
        <v>0.7</v>
      </c>
    </row>
    <row r="46" spans="1:11" x14ac:dyDescent="0.25">
      <c r="A46">
        <f t="shared" si="0"/>
        <v>20</v>
      </c>
      <c r="B46">
        <v>1.3</v>
      </c>
      <c r="E46">
        <f t="shared" si="1"/>
        <v>60000</v>
      </c>
      <c r="F46">
        <v>0.5</v>
      </c>
    </row>
    <row r="47" spans="1:11" x14ac:dyDescent="0.25">
      <c r="A47">
        <f t="shared" si="0"/>
        <v>1000</v>
      </c>
      <c r="B47">
        <v>1.25</v>
      </c>
      <c r="E47">
        <f t="shared" si="1"/>
        <v>60000</v>
      </c>
      <c r="F47">
        <v>0.3</v>
      </c>
    </row>
    <row r="48" spans="1:11" x14ac:dyDescent="0.25">
      <c r="A48">
        <f t="shared" si="0"/>
        <v>60000</v>
      </c>
      <c r="B48">
        <v>1.2</v>
      </c>
      <c r="E48">
        <f t="shared" si="1"/>
        <v>60000</v>
      </c>
      <c r="F48">
        <v>0.1</v>
      </c>
    </row>
    <row r="51" spans="2:6" x14ac:dyDescent="0.25">
      <c r="B51" s="16" t="s">
        <v>87</v>
      </c>
      <c r="E51" s="16" t="s">
        <v>88</v>
      </c>
    </row>
    <row r="53" spans="2:6" x14ac:dyDescent="0.25">
      <c r="B53" s="15" t="s">
        <v>86</v>
      </c>
      <c r="C53" s="15" t="s">
        <v>62</v>
      </c>
      <c r="E53" s="15" t="s">
        <v>86</v>
      </c>
      <c r="F53" s="15" t="s">
        <v>62</v>
      </c>
    </row>
    <row r="54" spans="2:6" x14ac:dyDescent="0.25">
      <c r="B54">
        <v>0.1</v>
      </c>
      <c r="C54">
        <v>1.66E-3</v>
      </c>
      <c r="E54">
        <v>1.2</v>
      </c>
      <c r="F54">
        <v>100</v>
      </c>
    </row>
    <row r="55" spans="2:6" x14ac:dyDescent="0.25">
      <c r="B55" s="17">
        <f>F48</f>
        <v>0.1</v>
      </c>
      <c r="C55" s="17">
        <f>E48/1000</f>
        <v>60</v>
      </c>
      <c r="E55" s="17">
        <f>B48</f>
        <v>1.2</v>
      </c>
      <c r="F55" s="17">
        <f>A48/1000</f>
        <v>60</v>
      </c>
    </row>
    <row r="56" spans="2:6" x14ac:dyDescent="0.25">
      <c r="B56" s="15">
        <f>B55</f>
        <v>0.1</v>
      </c>
      <c r="C56" s="15">
        <f>C55</f>
        <v>60</v>
      </c>
      <c r="E56" s="15">
        <v>1.25</v>
      </c>
      <c r="F56" s="15">
        <f>F55</f>
        <v>60</v>
      </c>
    </row>
    <row r="57" spans="2:6" x14ac:dyDescent="0.25">
      <c r="B57" s="17">
        <f>F47</f>
        <v>0.3</v>
      </c>
      <c r="C57" s="17">
        <f>E47/1000</f>
        <v>60</v>
      </c>
      <c r="E57" s="17">
        <f>B47</f>
        <v>1.25</v>
      </c>
      <c r="F57" s="17">
        <f>A47/1000</f>
        <v>1</v>
      </c>
    </row>
    <row r="58" spans="2:6" x14ac:dyDescent="0.25">
      <c r="B58" s="15">
        <f>B57</f>
        <v>0.3</v>
      </c>
      <c r="C58" s="15">
        <f>C57</f>
        <v>60</v>
      </c>
      <c r="E58" s="15">
        <v>1.3</v>
      </c>
      <c r="F58" s="15">
        <f>F57</f>
        <v>1</v>
      </c>
    </row>
    <row r="59" spans="2:6" x14ac:dyDescent="0.25">
      <c r="B59" s="17">
        <f>F46</f>
        <v>0.5</v>
      </c>
      <c r="C59" s="17">
        <f>E46/1000</f>
        <v>60</v>
      </c>
      <c r="E59" s="17">
        <f>B46</f>
        <v>1.3</v>
      </c>
      <c r="F59" s="17">
        <f>A46/1000</f>
        <v>0.02</v>
      </c>
    </row>
    <row r="60" spans="2:6" x14ac:dyDescent="0.25">
      <c r="B60" s="15">
        <f>B59</f>
        <v>0.5</v>
      </c>
      <c r="C60" s="15">
        <f>C59</f>
        <v>60</v>
      </c>
      <c r="E60" s="15">
        <v>1.4</v>
      </c>
      <c r="F60" s="15">
        <f>F59</f>
        <v>0.02</v>
      </c>
    </row>
    <row r="61" spans="2:6" x14ac:dyDescent="0.25">
      <c r="B61" s="17">
        <f>F45</f>
        <v>0.7</v>
      </c>
      <c r="C61" s="17">
        <f>E45/1000</f>
        <v>60</v>
      </c>
      <c r="E61" s="17">
        <f>B45</f>
        <v>1.4</v>
      </c>
      <c r="F61" s="17">
        <f>A45/1000</f>
        <v>3.0000000000000001E-3</v>
      </c>
    </row>
    <row r="62" spans="2:6" x14ac:dyDescent="0.25">
      <c r="B62" s="15">
        <f>B61</f>
        <v>0.7</v>
      </c>
      <c r="C62" s="15">
        <f>C61</f>
        <v>60</v>
      </c>
      <c r="E62" s="15">
        <v>1.7</v>
      </c>
      <c r="F62" s="15">
        <f>F61</f>
        <v>3.0000000000000001E-3</v>
      </c>
    </row>
    <row r="63" spans="2:6" x14ac:dyDescent="0.25">
      <c r="B63" s="17">
        <f>F44</f>
        <v>0.8</v>
      </c>
      <c r="C63" s="17">
        <f>E44/1000</f>
        <v>60</v>
      </c>
      <c r="E63" s="17">
        <f>B44</f>
        <v>1.7</v>
      </c>
      <c r="F63" s="17">
        <f>A44/1000</f>
        <v>1.66E-3</v>
      </c>
    </row>
    <row r="64" spans="2:6" x14ac:dyDescent="0.25">
      <c r="B64">
        <v>0.8</v>
      </c>
      <c r="C64">
        <v>100</v>
      </c>
      <c r="E64">
        <v>1.7</v>
      </c>
      <c r="F64">
        <v>1.66E-3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B544-9D6D-4A4C-9404-F0FB930AA9E9}">
  <sheetPr>
    <tabColor theme="6" tint="0.79998168889431442"/>
  </sheetPr>
  <dimension ref="A26:G55"/>
  <sheetViews>
    <sheetView showGridLines="0" zoomScale="85" zoomScaleNormal="85" workbookViewId="0">
      <selection activeCell="B53" sqref="B53"/>
    </sheetView>
  </sheetViews>
  <sheetFormatPr defaultRowHeight="15" x14ac:dyDescent="0.25"/>
  <cols>
    <col min="1" max="1" width="21.7109375" bestFit="1" customWidth="1"/>
    <col min="3" max="3" width="25" bestFit="1" customWidth="1"/>
    <col min="4" max="4" width="22.140625" bestFit="1" customWidth="1"/>
    <col min="7" max="7" width="24" bestFit="1" customWidth="1"/>
  </cols>
  <sheetData>
    <row r="26" spans="1:7" x14ac:dyDescent="0.25">
      <c r="A26" s="8" t="s">
        <v>19</v>
      </c>
      <c r="B26" s="1"/>
      <c r="C26" s="1"/>
      <c r="D26" s="1"/>
      <c r="E26" s="1"/>
      <c r="F26" s="1"/>
      <c r="G26" s="2"/>
    </row>
    <row r="27" spans="1:7" x14ac:dyDescent="0.25">
      <c r="A27" s="3" t="s">
        <v>16</v>
      </c>
      <c r="B27" t="s">
        <v>18</v>
      </c>
      <c r="D27" t="s">
        <v>16</v>
      </c>
      <c r="E27" t="s">
        <v>18</v>
      </c>
      <c r="G27" s="4"/>
    </row>
    <row r="28" spans="1:7" x14ac:dyDescent="0.25">
      <c r="A28" s="3">
        <v>0</v>
      </c>
      <c r="B28">
        <v>56</v>
      </c>
      <c r="C28" t="s">
        <v>2</v>
      </c>
      <c r="D28">
        <v>0</v>
      </c>
      <c r="E28">
        <v>44</v>
      </c>
      <c r="G28" s="4" t="s">
        <v>0</v>
      </c>
    </row>
    <row r="29" spans="1:7" x14ac:dyDescent="0.25">
      <c r="A29" s="3">
        <v>0</v>
      </c>
      <c r="B29">
        <v>55</v>
      </c>
      <c r="C29" t="s">
        <v>3</v>
      </c>
      <c r="D29">
        <v>0</v>
      </c>
      <c r="E29">
        <v>45</v>
      </c>
      <c r="G29" s="4" t="s">
        <v>1</v>
      </c>
    </row>
    <row r="30" spans="1:7" x14ac:dyDescent="0.25">
      <c r="A30" s="3">
        <v>60</v>
      </c>
      <c r="B30">
        <v>54</v>
      </c>
      <c r="C30" t="s">
        <v>4</v>
      </c>
      <c r="D30">
        <v>60</v>
      </c>
      <c r="E30">
        <v>46</v>
      </c>
      <c r="G30" s="4" t="s">
        <v>24</v>
      </c>
    </row>
    <row r="31" spans="1:7" x14ac:dyDescent="0.25">
      <c r="A31" s="3">
        <v>60</v>
      </c>
      <c r="B31">
        <v>54</v>
      </c>
      <c r="D31">
        <v>60</v>
      </c>
      <c r="E31">
        <v>46</v>
      </c>
      <c r="G31" s="4"/>
    </row>
    <row r="32" spans="1:7" x14ac:dyDescent="0.25">
      <c r="A32" s="3">
        <v>60</v>
      </c>
      <c r="B32">
        <v>53</v>
      </c>
      <c r="C32" t="s">
        <v>5</v>
      </c>
      <c r="D32">
        <v>60</v>
      </c>
      <c r="E32">
        <v>46</v>
      </c>
      <c r="G32" s="4"/>
    </row>
    <row r="33" spans="1:7" x14ac:dyDescent="0.25">
      <c r="A33" s="5">
        <v>60</v>
      </c>
      <c r="B33" s="6">
        <v>53</v>
      </c>
      <c r="C33" s="6"/>
      <c r="D33" s="6">
        <v>60</v>
      </c>
      <c r="E33" s="6">
        <v>47</v>
      </c>
      <c r="F33" s="6"/>
      <c r="G33" s="7" t="s">
        <v>23</v>
      </c>
    </row>
    <row r="35" spans="1:7" x14ac:dyDescent="0.25">
      <c r="A35" s="8" t="s">
        <v>20</v>
      </c>
      <c r="B35" s="1"/>
      <c r="C35" s="1"/>
      <c r="D35" s="1"/>
      <c r="E35" s="1"/>
      <c r="F35" s="2"/>
    </row>
    <row r="36" spans="1:7" x14ac:dyDescent="0.25">
      <c r="A36" s="3" t="s">
        <v>22</v>
      </c>
      <c r="B36" t="s">
        <v>18</v>
      </c>
      <c r="D36" t="s">
        <v>22</v>
      </c>
      <c r="E36" t="s">
        <v>18</v>
      </c>
      <c r="F36" s="4"/>
    </row>
    <row r="37" spans="1:7" x14ac:dyDescent="0.25">
      <c r="A37" s="3">
        <f>A28*1000</f>
        <v>0</v>
      </c>
      <c r="B37">
        <v>56</v>
      </c>
      <c r="D37">
        <f>D28*1000</f>
        <v>0</v>
      </c>
      <c r="E37">
        <v>44</v>
      </c>
      <c r="F37" s="4"/>
    </row>
    <row r="38" spans="1:7" x14ac:dyDescent="0.25">
      <c r="A38" s="3">
        <f t="shared" ref="A38:A42" si="0">A29*1000</f>
        <v>0</v>
      </c>
      <c r="B38">
        <v>55</v>
      </c>
      <c r="D38">
        <f t="shared" ref="D38:D42" si="1">D29*1000</f>
        <v>0</v>
      </c>
      <c r="E38">
        <v>45</v>
      </c>
      <c r="F38" s="4"/>
    </row>
    <row r="39" spans="1:7" x14ac:dyDescent="0.25">
      <c r="A39" s="3">
        <f t="shared" si="0"/>
        <v>60000</v>
      </c>
      <c r="B39">
        <v>54</v>
      </c>
      <c r="D39">
        <f t="shared" si="1"/>
        <v>60000</v>
      </c>
      <c r="E39">
        <v>46</v>
      </c>
      <c r="F39" s="4"/>
    </row>
    <row r="40" spans="1:7" x14ac:dyDescent="0.25">
      <c r="A40" s="3">
        <f t="shared" si="0"/>
        <v>60000</v>
      </c>
      <c r="B40">
        <v>54</v>
      </c>
      <c r="D40">
        <f t="shared" si="1"/>
        <v>60000</v>
      </c>
      <c r="E40">
        <v>46</v>
      </c>
      <c r="F40" s="4"/>
    </row>
    <row r="41" spans="1:7" x14ac:dyDescent="0.25">
      <c r="A41" s="3">
        <f t="shared" si="0"/>
        <v>60000</v>
      </c>
      <c r="B41">
        <v>53</v>
      </c>
      <c r="D41">
        <f t="shared" si="1"/>
        <v>60000</v>
      </c>
      <c r="E41">
        <v>46</v>
      </c>
      <c r="F41" s="4"/>
    </row>
    <row r="42" spans="1:7" x14ac:dyDescent="0.25">
      <c r="A42" s="3">
        <f t="shared" si="0"/>
        <v>60000</v>
      </c>
      <c r="B42">
        <v>53</v>
      </c>
      <c r="D42">
        <f t="shared" si="1"/>
        <v>60000</v>
      </c>
      <c r="E42">
        <v>47</v>
      </c>
      <c r="F42" s="4"/>
    </row>
    <row r="43" spans="1:7" x14ac:dyDescent="0.25">
      <c r="A43" s="5"/>
      <c r="B43" s="6"/>
      <c r="C43" s="6"/>
      <c r="D43" s="6"/>
      <c r="E43" s="6"/>
      <c r="F43" s="7"/>
    </row>
    <row r="46" spans="1:7" x14ac:dyDescent="0.25">
      <c r="A46" s="16" t="s">
        <v>89</v>
      </c>
      <c r="D46" s="16" t="s">
        <v>90</v>
      </c>
    </row>
    <row r="47" spans="1:7" x14ac:dyDescent="0.25">
      <c r="A47" s="3" t="s">
        <v>16</v>
      </c>
      <c r="B47" t="s">
        <v>18</v>
      </c>
      <c r="D47" t="s">
        <v>16</v>
      </c>
      <c r="E47" t="s">
        <v>18</v>
      </c>
    </row>
    <row r="48" spans="1:7" x14ac:dyDescent="0.25">
      <c r="A48" s="18">
        <f>A28</f>
        <v>0</v>
      </c>
      <c r="B48" s="18">
        <f>B28</f>
        <v>56</v>
      </c>
      <c r="D48" s="18">
        <f>D28</f>
        <v>0</v>
      </c>
      <c r="E48" s="18">
        <f>E28</f>
        <v>44</v>
      </c>
    </row>
    <row r="49" spans="1:5" x14ac:dyDescent="0.25">
      <c r="A49" s="18">
        <f>A29</f>
        <v>0</v>
      </c>
      <c r="B49" s="18">
        <f>B29</f>
        <v>55</v>
      </c>
      <c r="D49" s="18">
        <f>D29</f>
        <v>0</v>
      </c>
      <c r="E49" s="18">
        <f>E29</f>
        <v>45</v>
      </c>
    </row>
    <row r="50" spans="1:5" x14ac:dyDescent="0.25">
      <c r="A50">
        <v>60</v>
      </c>
      <c r="B50">
        <v>55</v>
      </c>
      <c r="D50">
        <v>60</v>
      </c>
      <c r="E50">
        <v>45</v>
      </c>
    </row>
    <row r="51" spans="1:5" x14ac:dyDescent="0.25">
      <c r="A51" s="18">
        <f t="shared" ref="A51:B54" si="2">A30</f>
        <v>60</v>
      </c>
      <c r="B51" s="18">
        <f t="shared" si="2"/>
        <v>54</v>
      </c>
      <c r="D51" s="18">
        <f t="shared" ref="D51:E54" si="3">D30</f>
        <v>60</v>
      </c>
      <c r="E51" s="18">
        <f t="shared" si="3"/>
        <v>46</v>
      </c>
    </row>
    <row r="52" spans="1:5" x14ac:dyDescent="0.25">
      <c r="A52" s="18">
        <f t="shared" si="2"/>
        <v>60</v>
      </c>
      <c r="B52" s="18">
        <f t="shared" si="2"/>
        <v>54</v>
      </c>
      <c r="D52" s="18">
        <f t="shared" si="3"/>
        <v>60</v>
      </c>
      <c r="E52" s="18">
        <f t="shared" si="3"/>
        <v>46</v>
      </c>
    </row>
    <row r="53" spans="1:5" x14ac:dyDescent="0.25">
      <c r="A53" s="18">
        <f t="shared" si="2"/>
        <v>60</v>
      </c>
      <c r="B53" s="18">
        <f t="shared" si="2"/>
        <v>53</v>
      </c>
      <c r="D53" s="18">
        <f t="shared" si="3"/>
        <v>60</v>
      </c>
      <c r="E53" s="18">
        <f t="shared" si="3"/>
        <v>46</v>
      </c>
    </row>
    <row r="54" spans="1:5" x14ac:dyDescent="0.25">
      <c r="A54" s="18">
        <f t="shared" si="2"/>
        <v>60</v>
      </c>
      <c r="B54" s="18">
        <f t="shared" si="2"/>
        <v>53</v>
      </c>
      <c r="D54" s="18">
        <f t="shared" si="3"/>
        <v>60</v>
      </c>
      <c r="E54" s="18">
        <f t="shared" si="3"/>
        <v>47</v>
      </c>
    </row>
    <row r="55" spans="1:5" x14ac:dyDescent="0.25">
      <c r="A55">
        <v>70</v>
      </c>
      <c r="B55">
        <v>53</v>
      </c>
      <c r="D55">
        <v>70</v>
      </c>
      <c r="E55">
        <v>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7A19-3DD0-421E-854D-847FF62EBDBA}">
  <sheetPr>
    <tabColor rgb="FF92D050"/>
  </sheetPr>
  <dimension ref="A1:G34"/>
  <sheetViews>
    <sheetView showGridLines="0" tabSelected="1" zoomScale="115" zoomScaleNormal="115" workbookViewId="0">
      <selection activeCell="N30" sqref="N30"/>
    </sheetView>
  </sheetViews>
  <sheetFormatPr defaultRowHeight="15" x14ac:dyDescent="0.25"/>
  <cols>
    <col min="1" max="1" width="28.140625" customWidth="1"/>
    <col min="2" max="2" width="36.140625" customWidth="1"/>
    <col min="3" max="3" width="30.140625" customWidth="1"/>
    <col min="4" max="4" width="17.85546875" bestFit="1" customWidth="1"/>
    <col min="7" max="7" width="12.140625" bestFit="1" customWidth="1"/>
  </cols>
  <sheetData>
    <row r="1" spans="1:7" x14ac:dyDescent="0.25">
      <c r="F1" t="s">
        <v>85</v>
      </c>
      <c r="G1" t="s">
        <v>84</v>
      </c>
    </row>
    <row r="2" spans="1:7" x14ac:dyDescent="0.25">
      <c r="A2" s="12" t="s">
        <v>79</v>
      </c>
      <c r="B2" s="12">
        <v>1</v>
      </c>
      <c r="C2" s="12" t="s">
        <v>74</v>
      </c>
      <c r="D2" s="12">
        <v>1.2</v>
      </c>
      <c r="F2" s="13">
        <v>0</v>
      </c>
      <c r="G2" s="14">
        <f>(1-F2)*1.5</f>
        <v>1.5</v>
      </c>
    </row>
    <row r="3" spans="1:7" x14ac:dyDescent="0.25">
      <c r="A3" s="12" t="s">
        <v>69</v>
      </c>
      <c r="B3" s="12">
        <v>1.05</v>
      </c>
      <c r="C3" s="12" t="s">
        <v>75</v>
      </c>
      <c r="D3" s="12">
        <v>1.2</v>
      </c>
      <c r="F3">
        <v>0.6</v>
      </c>
      <c r="G3" s="14">
        <f>(1-F3)*1.5</f>
        <v>0.60000000000000009</v>
      </c>
    </row>
    <row r="4" spans="1:7" x14ac:dyDescent="0.25">
      <c r="A4" s="12" t="s">
        <v>70</v>
      </c>
      <c r="B4" s="12">
        <v>2</v>
      </c>
      <c r="C4" s="12" t="s">
        <v>76</v>
      </c>
      <c r="D4" s="12">
        <v>0</v>
      </c>
      <c r="F4" s="13">
        <v>0.8</v>
      </c>
      <c r="G4" s="14">
        <f t="shared" ref="G4" si="0">(1-F4)*1.5</f>
        <v>0.29999999999999993</v>
      </c>
    </row>
    <row r="5" spans="1:7" x14ac:dyDescent="0.25">
      <c r="A5" s="12" t="s">
        <v>67</v>
      </c>
      <c r="B5" s="12">
        <v>0</v>
      </c>
      <c r="C5" s="12" t="s">
        <v>71</v>
      </c>
      <c r="D5" s="12">
        <v>0</v>
      </c>
      <c r="F5" s="14">
        <v>0.95</v>
      </c>
      <c r="G5" s="14">
        <f>(1-F5)*1.5</f>
        <v>7.5000000000000067E-2</v>
      </c>
    </row>
    <row r="6" spans="1:7" x14ac:dyDescent="0.25">
      <c r="A6" s="12" t="s">
        <v>68</v>
      </c>
      <c r="B6" s="12">
        <v>0.95</v>
      </c>
      <c r="C6" s="12" t="s">
        <v>72</v>
      </c>
      <c r="D6" s="12">
        <v>1.5</v>
      </c>
      <c r="F6" s="13">
        <v>1</v>
      </c>
      <c r="G6" s="14">
        <f t="shared" ref="G6:G10" si="1">(1-F6)*1.5</f>
        <v>0</v>
      </c>
    </row>
    <row r="7" spans="1:7" x14ac:dyDescent="0.25">
      <c r="A7" s="12" t="s">
        <v>78</v>
      </c>
      <c r="B7" s="12">
        <v>1</v>
      </c>
      <c r="C7" s="12" t="s">
        <v>73</v>
      </c>
      <c r="D7" s="12">
        <v>1.5</v>
      </c>
      <c r="F7" s="14">
        <v>1.05</v>
      </c>
      <c r="G7" s="14">
        <f>(1-F7)*1.2</f>
        <v>-6.0000000000000053E-2</v>
      </c>
    </row>
    <row r="8" spans="1:7" x14ac:dyDescent="0.25">
      <c r="F8" s="13">
        <v>1.2</v>
      </c>
      <c r="G8" s="14">
        <f>(1-F8)*1.2</f>
        <v>-0.23999999999999994</v>
      </c>
    </row>
    <row r="9" spans="1:7" x14ac:dyDescent="0.25">
      <c r="A9" s="12" t="s">
        <v>77</v>
      </c>
      <c r="B9" s="12">
        <v>0.5</v>
      </c>
      <c r="F9" s="14">
        <v>1.4</v>
      </c>
      <c r="G9" s="14">
        <f>(1-F9)*1.2</f>
        <v>-0.47999999999999987</v>
      </c>
    </row>
    <row r="10" spans="1:7" x14ac:dyDescent="0.25">
      <c r="A10" s="12" t="s">
        <v>81</v>
      </c>
      <c r="B10" s="12" t="s">
        <v>82</v>
      </c>
      <c r="F10">
        <v>2</v>
      </c>
      <c r="G10" s="14">
        <f>(1-F10)*1.2</f>
        <v>-1.2</v>
      </c>
    </row>
    <row r="11" spans="1:7" x14ac:dyDescent="0.25">
      <c r="A11" s="12" t="s">
        <v>83</v>
      </c>
      <c r="B11" s="12">
        <v>1</v>
      </c>
    </row>
    <row r="12" spans="1:7" x14ac:dyDescent="0.25">
      <c r="A12" s="12" t="s">
        <v>66</v>
      </c>
      <c r="B12" s="12" t="s">
        <v>80</v>
      </c>
    </row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</sheetData>
  <conditionalFormatting sqref="B2:B7 D2:D7 B9 B12">
    <cfRule type="cellIs" dxfId="0" priority="2" operator="equal">
      <formula>"N/A"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FBC2F2A2FEE479B3FBC16C2649A59" ma:contentTypeVersion="17" ma:contentTypeDescription="Create a new document." ma:contentTypeScope="" ma:versionID="9e220368868ef0bad25b2cdef393e53c">
  <xsd:schema xmlns:xsd="http://www.w3.org/2001/XMLSchema" xmlns:xs="http://www.w3.org/2001/XMLSchema" xmlns:p="http://schemas.microsoft.com/office/2006/metadata/properties" xmlns:ns2="92ff8f8f-8329-4cd8-9646-5c39ba8839e4" xmlns:ns3="4ac885e4-6f7f-42b0-8871-88937e4c5a45" targetNamespace="http://schemas.microsoft.com/office/2006/metadata/properties" ma:root="true" ma:fieldsID="e42a056fbc46de4003da64872f9b0714" ns2:_="" ns3:_="">
    <xsd:import namespace="92ff8f8f-8329-4cd8-9646-5c39ba8839e4"/>
    <xsd:import namespace="4ac885e4-6f7f-42b0-8871-88937e4c5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f8f8f-8329-4cd8-9646-5c39ba8839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f6e492a-e056-43c8-8d6f-c933f8bbd9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885e4-6f7f-42b0-8871-88937e4c5a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f28c9d-a79c-4472-b181-331cb6766781}" ma:internalName="TaxCatchAll" ma:showField="CatchAllData" ma:web="4ac885e4-6f7f-42b0-8871-88937e4c5a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ff8f8f-8329-4cd8-9646-5c39ba8839e4">
      <Terms xmlns="http://schemas.microsoft.com/office/infopath/2007/PartnerControls"/>
    </lcf76f155ced4ddcb4097134ff3c332f>
    <TaxCatchAll xmlns="4ac885e4-6f7f-42b0-8871-88937e4c5a4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FC9D42-8E42-432B-9B59-C6C29AF7E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ff8f8f-8329-4cd8-9646-5c39ba8839e4"/>
    <ds:schemaRef ds:uri="4ac885e4-6f7f-42b0-8871-88937e4c5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B424F4-B862-4429-8B3F-8E0374ED5E12}">
  <ds:schemaRefs>
    <ds:schemaRef ds:uri="http://schemas.microsoft.com/office/2006/metadata/properties"/>
    <ds:schemaRef ds:uri="http://schemas.microsoft.com/office/infopath/2007/PartnerControls"/>
    <ds:schemaRef ds:uri="92ff8f8f-8329-4cd8-9646-5c39ba8839e4"/>
    <ds:schemaRef ds:uri="4ac885e4-6f7f-42b0-8871-88937e4c5a45"/>
  </ds:schemaRefs>
</ds:datastoreItem>
</file>

<file path=customXml/itemProps3.xml><?xml version="1.0" encoding="utf-8"?>
<ds:datastoreItem xmlns:ds="http://schemas.openxmlformats.org/officeDocument/2006/customXml" ds:itemID="{4DB11670-A3C5-4AB4-AE26-4EEDC4157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Inverter diqdv</vt:lpstr>
      <vt:lpstr>Frequency Droop</vt:lpstr>
      <vt:lpstr>Voltage Droop</vt:lpstr>
      <vt:lpstr>Voltage Protection</vt:lpstr>
      <vt:lpstr>Frequency Protection</vt:lpstr>
      <vt:lpstr>Inverter_Q(u)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Chenuri Sooriyaaratchi</dc:creator>
  <cp:lastModifiedBy>Chenuri Sooriyaaratchi</cp:lastModifiedBy>
  <dcterms:created xsi:type="dcterms:W3CDTF">2025-04-10T01:35:06Z</dcterms:created>
  <dcterms:modified xsi:type="dcterms:W3CDTF">2025-06-22T23:34:49Z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0x010100629FBC2F2A2FEE479B3FBC16C2649A59</vt:lpwstr>
  </property>
  <property fmtid="{D5CDD505-2E9C-101B-9397-08002B2CF9AE}" pid="3" name="MediaServiceImageTags">
    <vt:lpwstr/>
  </property>
</Properties>
</file>